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Topic_6\"/>
    </mc:Choice>
  </mc:AlternateContent>
  <bookViews>
    <workbookView xWindow="120" yWindow="80" windowWidth="12390" windowHeight="7940"/>
  </bookViews>
  <sheets>
    <sheet name="Version_2" sheetId="2" r:id="rId1"/>
  </sheets>
  <definedNames>
    <definedName name="_xlnm.Print_Area" localSheetId="0">Version_2!$FX$2:$GI$28</definedName>
  </definedNames>
  <calcPr calcId="171027"/>
</workbook>
</file>

<file path=xl/calcChain.xml><?xml version="1.0" encoding="utf-8"?>
<calcChain xmlns="http://schemas.openxmlformats.org/spreadsheetml/2006/main">
  <c r="HQ64" i="2" l="1"/>
  <c r="HR64" i="2"/>
  <c r="HS64" i="2"/>
  <c r="HT64" i="2"/>
  <c r="HU64" i="2"/>
  <c r="HV64" i="2"/>
  <c r="HW64" i="2"/>
  <c r="HX64" i="2"/>
  <c r="HY64" i="2"/>
  <c r="HZ64" i="2"/>
  <c r="HQ65" i="2"/>
  <c r="HR65" i="2"/>
  <c r="HS65" i="2"/>
  <c r="HT65" i="2"/>
  <c r="HU65" i="2"/>
  <c r="HV65" i="2"/>
  <c r="HW65" i="2"/>
  <c r="HX65" i="2"/>
  <c r="HY65" i="2"/>
  <c r="HZ65" i="2"/>
  <c r="HQ66" i="2"/>
  <c r="HR66" i="2"/>
  <c r="HS66" i="2"/>
  <c r="HT66" i="2"/>
  <c r="HU66" i="2"/>
  <c r="HV66" i="2"/>
  <c r="HW66" i="2"/>
  <c r="HX66" i="2"/>
  <c r="HY66" i="2"/>
  <c r="HZ66" i="2"/>
  <c r="HQ67" i="2"/>
  <c r="HR67" i="2"/>
  <c r="HS67" i="2"/>
  <c r="HT67" i="2"/>
  <c r="HU67" i="2"/>
  <c r="HV67" i="2"/>
  <c r="HW67" i="2"/>
  <c r="HX67" i="2"/>
  <c r="HY67" i="2"/>
  <c r="HZ67" i="2"/>
  <c r="HP65" i="2"/>
  <c r="HP66" i="2"/>
  <c r="HP67" i="2"/>
  <c r="HP64" i="2"/>
  <c r="HQ35" i="2"/>
  <c r="HR35" i="2"/>
  <c r="HS35" i="2"/>
  <c r="HT35" i="2"/>
  <c r="HU35" i="2"/>
  <c r="HV35" i="2"/>
  <c r="HW35" i="2"/>
  <c r="HX35" i="2"/>
  <c r="HY35" i="2"/>
  <c r="HZ35" i="2"/>
  <c r="HQ36" i="2"/>
  <c r="HR36" i="2"/>
  <c r="HS36" i="2"/>
  <c r="HT36" i="2"/>
  <c r="HU36" i="2"/>
  <c r="HV36" i="2"/>
  <c r="HW36" i="2"/>
  <c r="HX36" i="2"/>
  <c r="HY36" i="2"/>
  <c r="HZ36" i="2"/>
  <c r="HP36" i="2"/>
  <c r="HP35" i="2"/>
  <c r="HQ32" i="2" s="1"/>
  <c r="HQ80" i="2"/>
  <c r="HP80" i="2"/>
  <c r="HQ60" i="2"/>
  <c r="HQ61" i="2"/>
  <c r="HP61" i="2"/>
  <c r="HP60" i="2"/>
  <c r="HP59" i="2"/>
  <c r="HC46" i="2"/>
  <c r="HB46" i="2"/>
  <c r="HP43" i="2"/>
  <c r="HB34" i="2"/>
  <c r="HB49" i="2" s="1"/>
  <c r="HP32" i="2"/>
  <c r="HP33" i="2" s="1"/>
  <c r="HQ31" i="2"/>
  <c r="HP31" i="2"/>
  <c r="HB31" i="2"/>
  <c r="HP30" i="2"/>
  <c r="HP15" i="2"/>
  <c r="HB11" i="2"/>
  <c r="HP6" i="2"/>
  <c r="JA5" i="2"/>
  <c r="II6" i="2"/>
  <c r="IS6" i="2"/>
  <c r="JA6" i="2"/>
  <c r="II7" i="2"/>
  <c r="IS7" i="2"/>
  <c r="ID8" i="2"/>
  <c r="IE8" i="2"/>
  <c r="IF8" i="2"/>
  <c r="IG8" i="2"/>
  <c r="IH8" i="2"/>
  <c r="IN8" i="2"/>
  <c r="IO8" i="2"/>
  <c r="IP8" i="2"/>
  <c r="IQ8" i="2"/>
  <c r="IR8" i="2"/>
  <c r="IX21" i="2"/>
  <c r="IX22" i="2"/>
  <c r="IX28" i="2"/>
  <c r="IX33" i="2"/>
  <c r="IX34" i="2"/>
  <c r="IY36" i="2" s="1"/>
  <c r="IX37" i="2" s="1"/>
  <c r="ID39" i="2"/>
  <c r="IN39" i="2"/>
  <c r="IE40" i="2"/>
  <c r="IO40" i="2"/>
  <c r="HP62" i="2" l="1"/>
  <c r="HP83" i="2" s="1"/>
  <c r="IN13" i="2"/>
  <c r="IN19" i="2" s="1"/>
  <c r="IS8" i="2"/>
  <c r="JA36" i="2"/>
  <c r="IY37" i="2" s="1"/>
  <c r="IQ13" i="2"/>
  <c r="IQ19" i="2" s="1"/>
  <c r="IQ12" i="2"/>
  <c r="II8" i="2"/>
  <c r="IX29" i="2"/>
  <c r="IX30" i="2" s="1"/>
  <c r="IP13" i="2"/>
  <c r="IP19" i="2" s="1"/>
  <c r="IP12" i="2"/>
  <c r="IH12" i="2"/>
  <c r="IR13" i="2"/>
  <c r="IR19" i="2" s="1"/>
  <c r="IR12" i="2"/>
  <c r="O9" i="2"/>
  <c r="O8" i="2"/>
  <c r="O7" i="2"/>
  <c r="O6" i="2"/>
  <c r="O5" i="2"/>
  <c r="D9" i="2"/>
  <c r="D8" i="2"/>
  <c r="D7" i="2"/>
  <c r="D6" i="2"/>
  <c r="D5" i="2"/>
  <c r="O25" i="2"/>
  <c r="Q24" i="2"/>
  <c r="P24" i="2"/>
  <c r="Q23" i="2"/>
  <c r="P23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U8" i="2"/>
  <c r="V9" i="2" s="1"/>
  <c r="IN12" i="2" l="1"/>
  <c r="IS12" i="2" s="1"/>
  <c r="IS14" i="2" s="1"/>
  <c r="IO12" i="2"/>
  <c r="IO13" i="2"/>
  <c r="IO19" i="2" s="1"/>
  <c r="IH18" i="2"/>
  <c r="IS13" i="2"/>
  <c r="IR14" i="2"/>
  <c r="IR18" i="2"/>
  <c r="IR20" i="2" s="1"/>
  <c r="IP14" i="2"/>
  <c r="IP18" i="2"/>
  <c r="IP20" i="2" s="1"/>
  <c r="IF13" i="2"/>
  <c r="IF19" i="2" s="1"/>
  <c r="IG13" i="2"/>
  <c r="IG19" i="2" s="1"/>
  <c r="IG12" i="2"/>
  <c r="IE13" i="2"/>
  <c r="IE19" i="2" s="1"/>
  <c r="IS19" i="2"/>
  <c r="IH13" i="2"/>
  <c r="IH19" i="2" s="1"/>
  <c r="IE12" i="2"/>
  <c r="ID13" i="2"/>
  <c r="ID12" i="2"/>
  <c r="IQ14" i="2"/>
  <c r="IQ18" i="2"/>
  <c r="IQ20" i="2" s="1"/>
  <c r="IF12" i="2"/>
  <c r="P25" i="2"/>
  <c r="P27" i="2" s="1"/>
  <c r="P7" i="2" s="1"/>
  <c r="Q7" i="2" s="1"/>
  <c r="Q25" i="2"/>
  <c r="JI36" i="2"/>
  <c r="JR47" i="2"/>
  <c r="JQ44" i="2"/>
  <c r="JQ41" i="2"/>
  <c r="JQ42" i="2" s="1"/>
  <c r="JQ40" i="2"/>
  <c r="JU30" i="2"/>
  <c r="JQ37" i="2" s="1"/>
  <c r="JT30" i="2"/>
  <c r="JQ36" i="2" s="1"/>
  <c r="JS6" i="2"/>
  <c r="JS7" i="2"/>
  <c r="JS8" i="2"/>
  <c r="JS9" i="2"/>
  <c r="JS10" i="2"/>
  <c r="JS11" i="2"/>
  <c r="JS12" i="2"/>
  <c r="JS13" i="2"/>
  <c r="JS14" i="2"/>
  <c r="JS15" i="2"/>
  <c r="JS16" i="2"/>
  <c r="JS17" i="2"/>
  <c r="JS18" i="2"/>
  <c r="JS19" i="2"/>
  <c r="JS20" i="2"/>
  <c r="JS21" i="2"/>
  <c r="JS22" i="2"/>
  <c r="JS23" i="2"/>
  <c r="JS24" i="2"/>
  <c r="JS25" i="2"/>
  <c r="JS26" i="2"/>
  <c r="JS27" i="2"/>
  <c r="JS28" i="2"/>
  <c r="JS29" i="2"/>
  <c r="JS5" i="2"/>
  <c r="JP6" i="2"/>
  <c r="JP7" i="2" s="1"/>
  <c r="JP8" i="2" s="1"/>
  <c r="JP9" i="2" s="1"/>
  <c r="JP10" i="2" s="1"/>
  <c r="JP11" i="2" s="1"/>
  <c r="JP12" i="2" s="1"/>
  <c r="JP13" i="2" s="1"/>
  <c r="JP14" i="2" s="1"/>
  <c r="JP15" i="2" s="1"/>
  <c r="JP16" i="2" s="1"/>
  <c r="JP17" i="2" s="1"/>
  <c r="JP18" i="2" s="1"/>
  <c r="JP19" i="2" s="1"/>
  <c r="JP20" i="2" s="1"/>
  <c r="JP21" i="2" s="1"/>
  <c r="JP22" i="2" s="1"/>
  <c r="JP23" i="2" s="1"/>
  <c r="JP24" i="2" s="1"/>
  <c r="JP25" i="2" s="1"/>
  <c r="JP26" i="2" s="1"/>
  <c r="JP27" i="2" s="1"/>
  <c r="JP28" i="2" s="1"/>
  <c r="JP29" i="2" s="1"/>
  <c r="JH28" i="2"/>
  <c r="JL17" i="2"/>
  <c r="JH25" i="2" s="1"/>
  <c r="JK17" i="2"/>
  <c r="JH24" i="2" s="1"/>
  <c r="JJ6" i="2"/>
  <c r="JJ7" i="2"/>
  <c r="JJ8" i="2"/>
  <c r="JJ9" i="2"/>
  <c r="JJ10" i="2"/>
  <c r="JJ11" i="2"/>
  <c r="JJ12" i="2"/>
  <c r="JJ13" i="2"/>
  <c r="JJ14" i="2"/>
  <c r="JJ15" i="2"/>
  <c r="JJ16" i="2"/>
  <c r="JJ5" i="2"/>
  <c r="JG6" i="2"/>
  <c r="JG7" i="2" s="1"/>
  <c r="JG8" i="2" s="1"/>
  <c r="JG9" i="2" s="1"/>
  <c r="JG10" i="2" s="1"/>
  <c r="JG11" i="2" s="1"/>
  <c r="JG12" i="2" s="1"/>
  <c r="JG13" i="2" s="1"/>
  <c r="JG14" i="2" s="1"/>
  <c r="JG15" i="2" s="1"/>
  <c r="JG16" i="2" s="1"/>
  <c r="JD19" i="2"/>
  <c r="IX24" i="2" s="1"/>
  <c r="IX26" i="2" s="1"/>
  <c r="JB19" i="2"/>
  <c r="IX23" i="2" s="1"/>
  <c r="IX25" i="2" s="1"/>
  <c r="IX27" i="2" s="1"/>
  <c r="IX39" i="2" s="1"/>
  <c r="IX41" i="2" s="1"/>
  <c r="JC7" i="2"/>
  <c r="P6" i="2" l="1"/>
  <c r="Q6" i="2" s="1"/>
  <c r="P8" i="2"/>
  <c r="Q8" i="2" s="1"/>
  <c r="IO18" i="2"/>
  <c r="IO20" i="2" s="1"/>
  <c r="IO14" i="2"/>
  <c r="IH20" i="2"/>
  <c r="IN18" i="2"/>
  <c r="IN20" i="2" s="1"/>
  <c r="IN14" i="2"/>
  <c r="IH14" i="2"/>
  <c r="IE14" i="2"/>
  <c r="IE18" i="2"/>
  <c r="IE20" i="2" s="1"/>
  <c r="IS18" i="2"/>
  <c r="IS20" i="2" s="1"/>
  <c r="IN42" i="2" s="1"/>
  <c r="IO44" i="2" s="1"/>
  <c r="IF14" i="2"/>
  <c r="IF18" i="2"/>
  <c r="IF20" i="2" s="1"/>
  <c r="IG18" i="2"/>
  <c r="IG20" i="2" s="1"/>
  <c r="IG14" i="2"/>
  <c r="ID14" i="2"/>
  <c r="ID18" i="2"/>
  <c r="II12" i="2"/>
  <c r="ID19" i="2"/>
  <c r="II19" i="2" s="1"/>
  <c r="II13" i="2"/>
  <c r="S27" i="2"/>
  <c r="P9" i="2"/>
  <c r="Q9" i="2" s="1"/>
  <c r="P5" i="2"/>
  <c r="Q5" i="2" s="1"/>
  <c r="JQ39" i="2"/>
  <c r="JQ50" i="2" s="1"/>
  <c r="JR52" i="2" s="1"/>
  <c r="JH34" i="2"/>
  <c r="GQ7" i="2"/>
  <c r="GM8" i="2"/>
  <c r="GM9" i="2" s="1"/>
  <c r="GM10" i="2" s="1"/>
  <c r="GM11" i="2" s="1"/>
  <c r="GM12" i="2" s="1"/>
  <c r="GM13" i="2" s="1"/>
  <c r="GM14" i="2" s="1"/>
  <c r="GM15" i="2" s="1"/>
  <c r="GM16" i="2" s="1"/>
  <c r="GM17" i="2" s="1"/>
  <c r="GM18" i="2" s="1"/>
  <c r="GM19" i="2" s="1"/>
  <c r="GM20" i="2" s="1"/>
  <c r="GM21" i="2" s="1"/>
  <c r="GM22" i="2" s="1"/>
  <c r="GM23" i="2" s="1"/>
  <c r="GM24" i="2" s="1"/>
  <c r="GM25" i="2" s="1"/>
  <c r="GM26" i="2" s="1"/>
  <c r="GM27" i="2" s="1"/>
  <c r="GM28" i="2" s="1"/>
  <c r="GM29" i="2" s="1"/>
  <c r="GM30" i="2" s="1"/>
  <c r="GQ8" i="2"/>
  <c r="GQ9" i="2" s="1"/>
  <c r="GL35" i="2"/>
  <c r="GO35" i="2"/>
  <c r="GQ35" i="2"/>
  <c r="GM36" i="2"/>
  <c r="GO36" i="2" s="1"/>
  <c r="GV37" i="2"/>
  <c r="GV39" i="2"/>
  <c r="GW40" i="2" s="1"/>
  <c r="GS75" i="2"/>
  <c r="GS76" i="2"/>
  <c r="GS77" i="2"/>
  <c r="GS78" i="2"/>
  <c r="GS79" i="2"/>
  <c r="GS80" i="2"/>
  <c r="GS81" i="2"/>
  <c r="GS82" i="2"/>
  <c r="GS83" i="2"/>
  <c r="GS84" i="2"/>
  <c r="GS85" i="2"/>
  <c r="GS86" i="2"/>
  <c r="GS87" i="2"/>
  <c r="GS88" i="2"/>
  <c r="GS89" i="2"/>
  <c r="GS90" i="2"/>
  <c r="GS91" i="2"/>
  <c r="GS92" i="2"/>
  <c r="GS93" i="2"/>
  <c r="GS94" i="2"/>
  <c r="GS95" i="2"/>
  <c r="GS96" i="2"/>
  <c r="GS97" i="2"/>
  <c r="GS98" i="2"/>
  <c r="GC26" i="2"/>
  <c r="GD26" i="2" s="1"/>
  <c r="GB26" i="2"/>
  <c r="GC25" i="2"/>
  <c r="GD25" i="2" s="1"/>
  <c r="GB25" i="2"/>
  <c r="GC24" i="2"/>
  <c r="GD24" i="2" s="1"/>
  <c r="GB24" i="2"/>
  <c r="GC23" i="2"/>
  <c r="GD23" i="2" s="1"/>
  <c r="GB23" i="2"/>
  <c r="GC22" i="2"/>
  <c r="GD22" i="2" s="1"/>
  <c r="GB22" i="2"/>
  <c r="FY22" i="2"/>
  <c r="GG16" i="2"/>
  <c r="GH17" i="2" s="1"/>
  <c r="GD8" i="2"/>
  <c r="GD9" i="2" s="1"/>
  <c r="FZ8" i="2"/>
  <c r="FZ9" i="2" s="1"/>
  <c r="FZ10" i="2" s="1"/>
  <c r="FZ11" i="2" s="1"/>
  <c r="FZ12" i="2" s="1"/>
  <c r="FZ13" i="2" s="1"/>
  <c r="FZ14" i="2" s="1"/>
  <c r="FZ15" i="2" s="1"/>
  <c r="FZ16" i="2" s="1"/>
  <c r="GD7" i="2"/>
  <c r="FT16" i="2"/>
  <c r="FU17" i="2" s="1"/>
  <c r="FP26" i="2"/>
  <c r="FQ26" i="2" s="1"/>
  <c r="FP25" i="2"/>
  <c r="FQ25" i="2" s="1"/>
  <c r="FP24" i="2"/>
  <c r="FQ24" i="2" s="1"/>
  <c r="FP23" i="2"/>
  <c r="FQ23" i="2" s="1"/>
  <c r="FP22" i="2"/>
  <c r="FQ22" i="2" s="1"/>
  <c r="FM8" i="2"/>
  <c r="FM9" i="2" s="1"/>
  <c r="FM10" i="2" s="1"/>
  <c r="FM11" i="2" s="1"/>
  <c r="FM12" i="2" s="1"/>
  <c r="FM13" i="2" s="1"/>
  <c r="FM14" i="2" s="1"/>
  <c r="FM15" i="2" s="1"/>
  <c r="FM16" i="2" s="1"/>
  <c r="FO23" i="2"/>
  <c r="FO24" i="2"/>
  <c r="FO25" i="2"/>
  <c r="FO26" i="2"/>
  <c r="FO22" i="2"/>
  <c r="FL22" i="2"/>
  <c r="FQ7" i="2"/>
  <c r="FQ8" i="2"/>
  <c r="FQ9" i="2" s="1"/>
  <c r="FB6" i="2"/>
  <c r="FB7" i="2"/>
  <c r="FB8" i="2"/>
  <c r="FB9" i="2"/>
  <c r="FB10" i="2"/>
  <c r="FB11" i="2"/>
  <c r="FB12" i="2"/>
  <c r="FB13" i="2"/>
  <c r="FB14" i="2"/>
  <c r="FB5" i="2"/>
  <c r="FA15" i="2"/>
  <c r="EY74" i="2"/>
  <c r="EY73" i="2"/>
  <c r="EY72" i="2"/>
  <c r="EY71" i="2"/>
  <c r="EY70" i="2"/>
  <c r="EY69" i="2"/>
  <c r="EY68" i="2"/>
  <c r="EY67" i="2"/>
  <c r="EY66" i="2"/>
  <c r="EY6" i="2"/>
  <c r="EY7" i="2"/>
  <c r="EY8" i="2"/>
  <c r="EY9" i="2"/>
  <c r="EY10" i="2"/>
  <c r="EY11" i="2"/>
  <c r="EY12" i="2"/>
  <c r="EY13" i="2"/>
  <c r="EY14" i="2"/>
  <c r="EY15" i="2"/>
  <c r="EY16" i="2"/>
  <c r="EY17" i="2"/>
  <c r="EY18" i="2"/>
  <c r="EY19" i="2"/>
  <c r="EY20" i="2"/>
  <c r="EY21" i="2"/>
  <c r="EY22" i="2"/>
  <c r="EY23" i="2"/>
  <c r="EY24" i="2"/>
  <c r="EY25" i="2"/>
  <c r="EY26" i="2"/>
  <c r="EY27" i="2"/>
  <c r="EY28" i="2"/>
  <c r="EY29" i="2"/>
  <c r="EY30" i="2"/>
  <c r="EY31" i="2"/>
  <c r="EY32" i="2"/>
  <c r="EY33" i="2"/>
  <c r="EY34" i="2"/>
  <c r="EY35" i="2"/>
  <c r="EY36" i="2"/>
  <c r="EY37" i="2"/>
  <c r="EY38" i="2"/>
  <c r="EY39" i="2"/>
  <c r="EY40" i="2"/>
  <c r="EY41" i="2"/>
  <c r="EY42" i="2"/>
  <c r="EY43" i="2"/>
  <c r="EY44" i="2"/>
  <c r="EY45" i="2"/>
  <c r="EY46" i="2"/>
  <c r="EY47" i="2"/>
  <c r="EY48" i="2"/>
  <c r="EY49" i="2"/>
  <c r="EY50" i="2"/>
  <c r="EY51" i="2"/>
  <c r="EY52" i="2"/>
  <c r="EY53" i="2"/>
  <c r="EY54" i="2"/>
  <c r="EX55" i="2"/>
  <c r="EY58" i="2" s="1"/>
  <c r="FG8" i="2"/>
  <c r="FH9" i="2" s="1"/>
  <c r="EV6" i="2"/>
  <c r="EV7" i="2" s="1"/>
  <c r="EV8" i="2" s="1"/>
  <c r="EV9" i="2" s="1"/>
  <c r="EV10" i="2" s="1"/>
  <c r="EV11" i="2" s="1"/>
  <c r="EV12" i="2" s="1"/>
  <c r="EV13" i="2" s="1"/>
  <c r="EV14" i="2" s="1"/>
  <c r="EV15" i="2" s="1"/>
  <c r="EV16" i="2" s="1"/>
  <c r="EV17" i="2" s="1"/>
  <c r="EV18" i="2" s="1"/>
  <c r="EV19" i="2" s="1"/>
  <c r="EV20" i="2" s="1"/>
  <c r="EV21" i="2" s="1"/>
  <c r="EV22" i="2" s="1"/>
  <c r="EV23" i="2" s="1"/>
  <c r="EV24" i="2" s="1"/>
  <c r="EV25" i="2" s="1"/>
  <c r="EV26" i="2" s="1"/>
  <c r="EV27" i="2" s="1"/>
  <c r="EV28" i="2" s="1"/>
  <c r="EV29" i="2" s="1"/>
  <c r="EV30" i="2" s="1"/>
  <c r="EV31" i="2" s="1"/>
  <c r="EV32" i="2" s="1"/>
  <c r="EV33" i="2" s="1"/>
  <c r="EV34" i="2" s="1"/>
  <c r="EV35" i="2" s="1"/>
  <c r="EV36" i="2" s="1"/>
  <c r="EV37" i="2" s="1"/>
  <c r="EV38" i="2" s="1"/>
  <c r="EV39" i="2" s="1"/>
  <c r="EV40" i="2" s="1"/>
  <c r="EV41" i="2" s="1"/>
  <c r="EV42" i="2" s="1"/>
  <c r="EV43" i="2" s="1"/>
  <c r="EV44" i="2" s="1"/>
  <c r="EV45" i="2" s="1"/>
  <c r="EV46" i="2" s="1"/>
  <c r="EV47" i="2" s="1"/>
  <c r="EV48" i="2" s="1"/>
  <c r="EV49" i="2" s="1"/>
  <c r="EV50" i="2" s="1"/>
  <c r="EV51" i="2" s="1"/>
  <c r="EV52" i="2" s="1"/>
  <c r="EV53" i="2" s="1"/>
  <c r="EV54" i="2" s="1"/>
  <c r="FC9" i="2" s="1"/>
  <c r="FD9" i="2" s="1"/>
  <c r="EY5" i="2"/>
  <c r="ER9" i="2"/>
  <c r="ER10" i="2" s="1"/>
  <c r="ES11" i="2" s="1"/>
  <c r="ER3" i="2"/>
  <c r="ER2" i="2"/>
  <c r="EM55" i="2" s="1"/>
  <c r="EH7" i="2"/>
  <c r="BQ13" i="2"/>
  <c r="BO52" i="2"/>
  <c r="BO51" i="2"/>
  <c r="BO50" i="2"/>
  <c r="BO48" i="2"/>
  <c r="BO47" i="2"/>
  <c r="BO46" i="2"/>
  <c r="BR6" i="2"/>
  <c r="BS6" i="2" s="1"/>
  <c r="BT6" i="2" s="1"/>
  <c r="BR7" i="2"/>
  <c r="BS7" i="2" s="1"/>
  <c r="BT7" i="2" s="1"/>
  <c r="BR8" i="2"/>
  <c r="BS8" i="2" s="1"/>
  <c r="BT8" i="2" s="1"/>
  <c r="BR9" i="2"/>
  <c r="BS9" i="2" s="1"/>
  <c r="BT9" i="2" s="1"/>
  <c r="BR10" i="2"/>
  <c r="BS10" i="2" s="1"/>
  <c r="BT10" i="2" s="1"/>
  <c r="BR11" i="2"/>
  <c r="BS11" i="2" s="1"/>
  <c r="BT11" i="2" s="1"/>
  <c r="BR12" i="2"/>
  <c r="BS12" i="2" s="1"/>
  <c r="BT12" i="2" s="1"/>
  <c r="BR5" i="2"/>
  <c r="BS5" i="2" s="1"/>
  <c r="BT5" i="2" s="1"/>
  <c r="BO49" i="2"/>
  <c r="BN35" i="2"/>
  <c r="BO38" i="2" s="1"/>
  <c r="BO34" i="2"/>
  <c r="BO33" i="2"/>
  <c r="BO32" i="2"/>
  <c r="BO31" i="2"/>
  <c r="BO30" i="2"/>
  <c r="BO29" i="2"/>
  <c r="BO28" i="2"/>
  <c r="BO27" i="2"/>
  <c r="BO26" i="2"/>
  <c r="BO25" i="2"/>
  <c r="BO24" i="2"/>
  <c r="BO23" i="2"/>
  <c r="BO22" i="2"/>
  <c r="BO21" i="2"/>
  <c r="BO20" i="2"/>
  <c r="BO19" i="2"/>
  <c r="BO18" i="2"/>
  <c r="BO17" i="2"/>
  <c r="BO16" i="2"/>
  <c r="BO15" i="2"/>
  <c r="BO14" i="2"/>
  <c r="BO13" i="2"/>
  <c r="BO12" i="2"/>
  <c r="BO11" i="2"/>
  <c r="BO10" i="2"/>
  <c r="BO9" i="2"/>
  <c r="BW8" i="2"/>
  <c r="BX9" i="2" s="1"/>
  <c r="BO8" i="2"/>
  <c r="BO7" i="2"/>
  <c r="BO6" i="2"/>
  <c r="BL6" i="2"/>
  <c r="BL7" i="2" s="1"/>
  <c r="BL8" i="2" s="1"/>
  <c r="BL9" i="2" s="1"/>
  <c r="BL10" i="2" s="1"/>
  <c r="BL11" i="2" s="1"/>
  <c r="BL12" i="2" s="1"/>
  <c r="BL13" i="2" s="1"/>
  <c r="BL14" i="2" s="1"/>
  <c r="BL15" i="2" s="1"/>
  <c r="BL16" i="2" s="1"/>
  <c r="BL17" i="2" s="1"/>
  <c r="BL18" i="2" s="1"/>
  <c r="BL19" i="2" s="1"/>
  <c r="BL20" i="2" s="1"/>
  <c r="BL21" i="2" s="1"/>
  <c r="BL22" i="2" s="1"/>
  <c r="BL23" i="2" s="1"/>
  <c r="BL24" i="2" s="1"/>
  <c r="BL25" i="2" s="1"/>
  <c r="BL26" i="2" s="1"/>
  <c r="BL27" i="2" s="1"/>
  <c r="BL28" i="2" s="1"/>
  <c r="BL29" i="2" s="1"/>
  <c r="BL30" i="2" s="1"/>
  <c r="BL31" i="2" s="1"/>
  <c r="BL32" i="2" s="1"/>
  <c r="BL33" i="2" s="1"/>
  <c r="BL34" i="2" s="1"/>
  <c r="BO5" i="2"/>
  <c r="DX7" i="2"/>
  <c r="DX8" i="2"/>
  <c r="DX9" i="2"/>
  <c r="DX10" i="2"/>
  <c r="DX11" i="2"/>
  <c r="DX12" i="2"/>
  <c r="DX13" i="2"/>
  <c r="DX14" i="2"/>
  <c r="DX15" i="2"/>
  <c r="DX16" i="2"/>
  <c r="DX17" i="2"/>
  <c r="DX6" i="2"/>
  <c r="EC13" i="2"/>
  <c r="ED14" i="2" s="1"/>
  <c r="DT7" i="2"/>
  <c r="DT8" i="2" s="1"/>
  <c r="DI25" i="2"/>
  <c r="DI24" i="2"/>
  <c r="DI23" i="2"/>
  <c r="DI22" i="2"/>
  <c r="DI21" i="2"/>
  <c r="DI20" i="2"/>
  <c r="DI19" i="2"/>
  <c r="DI18" i="2"/>
  <c r="DI17" i="2"/>
  <c r="DI16" i="2"/>
  <c r="DI15" i="2"/>
  <c r="DI14" i="2"/>
  <c r="DN13" i="2"/>
  <c r="DO14" i="2" s="1"/>
  <c r="DI13" i="2"/>
  <c r="DI12" i="2"/>
  <c r="DI11" i="2"/>
  <c r="DI10" i="2"/>
  <c r="DI9" i="2"/>
  <c r="DI8" i="2"/>
  <c r="DI7" i="2"/>
  <c r="DE7" i="2"/>
  <c r="DE8" i="2" s="1"/>
  <c r="DE9" i="2" s="1"/>
  <c r="DI6" i="2"/>
  <c r="CY13" i="2"/>
  <c r="CZ14" i="2" s="1"/>
  <c r="CT7" i="2"/>
  <c r="CT8" i="2"/>
  <c r="CT9" i="2"/>
  <c r="CT10" i="2"/>
  <c r="CT11" i="2"/>
  <c r="CT12" i="2"/>
  <c r="CT13" i="2"/>
  <c r="CT14" i="2"/>
  <c r="CT15" i="2"/>
  <c r="CT16" i="2"/>
  <c r="CT17" i="2"/>
  <c r="CT18" i="2"/>
  <c r="CT19" i="2"/>
  <c r="CT20" i="2"/>
  <c r="CT21" i="2"/>
  <c r="CT22" i="2"/>
  <c r="CT23" i="2"/>
  <c r="CT24" i="2"/>
  <c r="CT25" i="2"/>
  <c r="CT6" i="2"/>
  <c r="CP7" i="2"/>
  <c r="CP8" i="2" s="1"/>
  <c r="CK10" i="2"/>
  <c r="CL11" i="2" s="1"/>
  <c r="CA7" i="2"/>
  <c r="CA8" i="2" s="1"/>
  <c r="CA9" i="2" s="1"/>
  <c r="CA10" i="2" s="1"/>
  <c r="CA11" i="2" s="1"/>
  <c r="CA12" i="2" s="1"/>
  <c r="CA13" i="2" s="1"/>
  <c r="CA14" i="2" s="1"/>
  <c r="CA15" i="2" s="1"/>
  <c r="CA16" i="2" s="1"/>
  <c r="CA17" i="2" s="1"/>
  <c r="CA18" i="2" s="1"/>
  <c r="CA19" i="2" s="1"/>
  <c r="CA20" i="2" s="1"/>
  <c r="CA21" i="2" s="1"/>
  <c r="CA22" i="2" s="1"/>
  <c r="CA23" i="2" s="1"/>
  <c r="CA24" i="2" s="1"/>
  <c r="CA25" i="2" s="1"/>
  <c r="CA26" i="2" s="1"/>
  <c r="CA27" i="2" s="1"/>
  <c r="CA28" i="2" s="1"/>
  <c r="CA29" i="2" s="1"/>
  <c r="CA30" i="2" s="1"/>
  <c r="CA31" i="2" s="1"/>
  <c r="CA32" i="2" s="1"/>
  <c r="CA33" i="2" s="1"/>
  <c r="AM12" i="2"/>
  <c r="E16" i="2"/>
  <c r="F16" i="2"/>
  <c r="AM63" i="2"/>
  <c r="AN62" i="2"/>
  <c r="AN61" i="2"/>
  <c r="AN60" i="2"/>
  <c r="AN59" i="2"/>
  <c r="AN58" i="2"/>
  <c r="AN57" i="2"/>
  <c r="AN56" i="2"/>
  <c r="AN55" i="2"/>
  <c r="AN54" i="2"/>
  <c r="AN53" i="2"/>
  <c r="AN52" i="2"/>
  <c r="AZ49" i="2"/>
  <c r="AZ48" i="2"/>
  <c r="AZ47" i="2"/>
  <c r="AZ46" i="2"/>
  <c r="AM45" i="2"/>
  <c r="AM44" i="2"/>
  <c r="AM43" i="2"/>
  <c r="AS42" i="2"/>
  <c r="AT43" i="2" s="1"/>
  <c r="AM42" i="2"/>
  <c r="AY35" i="2"/>
  <c r="AZ38" i="2" s="1"/>
  <c r="AZ34" i="2"/>
  <c r="AZ33" i="2"/>
  <c r="AZ32" i="2"/>
  <c r="AZ31" i="2"/>
  <c r="AZ30" i="2"/>
  <c r="AM30" i="2"/>
  <c r="AZ29" i="2"/>
  <c r="AN29" i="2"/>
  <c r="AZ28" i="2"/>
  <c r="AN28" i="2"/>
  <c r="AZ27" i="2"/>
  <c r="AN27" i="2"/>
  <c r="AZ26" i="2"/>
  <c r="AN26" i="2"/>
  <c r="AZ25" i="2"/>
  <c r="AN25" i="2"/>
  <c r="AZ24" i="2"/>
  <c r="AN24" i="2"/>
  <c r="F24" i="2"/>
  <c r="E24" i="2"/>
  <c r="AZ23" i="2"/>
  <c r="AN23" i="2"/>
  <c r="F23" i="2"/>
  <c r="E23" i="2"/>
  <c r="AZ22" i="2"/>
  <c r="AN22" i="2"/>
  <c r="AF22" i="2"/>
  <c r="AG23" i="2" s="1"/>
  <c r="Z22" i="2"/>
  <c r="F22" i="2"/>
  <c r="E22" i="2"/>
  <c r="AZ21" i="2"/>
  <c r="AN21" i="2"/>
  <c r="AA21" i="2"/>
  <c r="F21" i="2"/>
  <c r="E21" i="2"/>
  <c r="AZ20" i="2"/>
  <c r="AN20" i="2"/>
  <c r="AA20" i="2"/>
  <c r="F20" i="2"/>
  <c r="AZ19" i="2"/>
  <c r="AN19" i="2"/>
  <c r="AA19" i="2"/>
  <c r="E19" i="2"/>
  <c r="AZ18" i="2"/>
  <c r="AA18" i="2"/>
  <c r="E18" i="2"/>
  <c r="AZ17" i="2"/>
  <c r="AA17" i="2"/>
  <c r="E17" i="2"/>
  <c r="AZ16" i="2"/>
  <c r="AZ15" i="2"/>
  <c r="AZ14" i="2"/>
  <c r="AZ13" i="2"/>
  <c r="AM13" i="2"/>
  <c r="AZ12" i="2"/>
  <c r="AZ11" i="2"/>
  <c r="AM11" i="2"/>
  <c r="BC10" i="2"/>
  <c r="AZ10" i="2"/>
  <c r="AM10" i="2"/>
  <c r="BD9" i="2"/>
  <c r="AZ9" i="2"/>
  <c r="AM9" i="2"/>
  <c r="Z9" i="2"/>
  <c r="BH8" i="2"/>
  <c r="BI9" i="2" s="1"/>
  <c r="BD8" i="2"/>
  <c r="AZ8" i="2"/>
  <c r="AS8" i="2"/>
  <c r="AT9" i="2" s="1"/>
  <c r="AM8" i="2"/>
  <c r="AF8" i="2"/>
  <c r="AG9" i="2" s="1"/>
  <c r="AA8" i="2"/>
  <c r="J8" i="2"/>
  <c r="K9" i="2" s="1"/>
  <c r="BD7" i="2"/>
  <c r="AZ7" i="2"/>
  <c r="AA7" i="2"/>
  <c r="BD6" i="2"/>
  <c r="AZ6" i="2"/>
  <c r="AW6" i="2"/>
  <c r="AW7" i="2" s="1"/>
  <c r="AW8" i="2" s="1"/>
  <c r="AW9" i="2" s="1"/>
  <c r="AW10" i="2" s="1"/>
  <c r="AW11" i="2" s="1"/>
  <c r="AW12" i="2" s="1"/>
  <c r="AW13" i="2" s="1"/>
  <c r="AW14" i="2" s="1"/>
  <c r="AW15" i="2" s="1"/>
  <c r="AW16" i="2" s="1"/>
  <c r="AW17" i="2" s="1"/>
  <c r="AW18" i="2" s="1"/>
  <c r="AW19" i="2" s="1"/>
  <c r="AW20" i="2" s="1"/>
  <c r="AW21" i="2" s="1"/>
  <c r="AW22" i="2" s="1"/>
  <c r="AW23" i="2" s="1"/>
  <c r="AW24" i="2" s="1"/>
  <c r="AW25" i="2" s="1"/>
  <c r="AW26" i="2" s="1"/>
  <c r="AW27" i="2" s="1"/>
  <c r="AW28" i="2" s="1"/>
  <c r="AW29" i="2" s="1"/>
  <c r="AW30" i="2" s="1"/>
  <c r="AW31" i="2" s="1"/>
  <c r="AW32" i="2" s="1"/>
  <c r="AW33" i="2" s="1"/>
  <c r="AW34" i="2" s="1"/>
  <c r="AA6" i="2"/>
  <c r="BD5" i="2"/>
  <c r="BB5" i="2"/>
  <c r="BB6" i="2" s="1"/>
  <c r="AZ5" i="2"/>
  <c r="AA5" i="2"/>
  <c r="AA4" i="2"/>
  <c r="D25" i="2"/>
  <c r="E20" i="2"/>
  <c r="F17" i="2"/>
  <c r="F18" i="2"/>
  <c r="F19" i="2"/>
  <c r="EH8" i="2"/>
  <c r="EH9" i="2" s="1"/>
  <c r="EH10" i="2" s="1"/>
  <c r="EH11" i="2" s="1"/>
  <c r="EH12" i="2" s="1"/>
  <c r="AB17" i="2"/>
  <c r="AC17" i="2" s="1"/>
  <c r="EM7" i="2" l="1"/>
  <c r="II14" i="2"/>
  <c r="ID20" i="2"/>
  <c r="II18" i="2"/>
  <c r="II20" i="2" s="1"/>
  <c r="ID42" i="2" s="1"/>
  <c r="IE44" i="2" s="1"/>
  <c r="FC8" i="2"/>
  <c r="FD8" i="2" s="1"/>
  <c r="AB4" i="2"/>
  <c r="AC4" i="2" s="1"/>
  <c r="EM16" i="2"/>
  <c r="EM37" i="2"/>
  <c r="EM10" i="2"/>
  <c r="EM8" i="2"/>
  <c r="EM25" i="2"/>
  <c r="EM35" i="2"/>
  <c r="EM20" i="2"/>
  <c r="FC13" i="2"/>
  <c r="FD13" i="2" s="1"/>
  <c r="EM44" i="2"/>
  <c r="EM47" i="2"/>
  <c r="FC12" i="2"/>
  <c r="FD12" i="2" s="1"/>
  <c r="EM42" i="2"/>
  <c r="EM9" i="2"/>
  <c r="EM23" i="2"/>
  <c r="EM32" i="2"/>
  <c r="EM29" i="2"/>
  <c r="EM36" i="2"/>
  <c r="EM12" i="2"/>
  <c r="EM15" i="2"/>
  <c r="EM49" i="2"/>
  <c r="FC5" i="2"/>
  <c r="FD5" i="2" s="1"/>
  <c r="EM24" i="2"/>
  <c r="EM13" i="2"/>
  <c r="EM33" i="2"/>
  <c r="FC14" i="2"/>
  <c r="FD14" i="2" s="1"/>
  <c r="EM52" i="2"/>
  <c r="EM18" i="2"/>
  <c r="EM48" i="2"/>
  <c r="EM54" i="2"/>
  <c r="EM14" i="2"/>
  <c r="FC6" i="2"/>
  <c r="FD6" i="2" s="1"/>
  <c r="EM30" i="2"/>
  <c r="EM41" i="2"/>
  <c r="EM38" i="2"/>
  <c r="EM34" i="2"/>
  <c r="EM45" i="2"/>
  <c r="EM19" i="2"/>
  <c r="EM22" i="2"/>
  <c r="EM39" i="2"/>
  <c r="EM26" i="2"/>
  <c r="EM17" i="2"/>
  <c r="AB8" i="2"/>
  <c r="AC8" i="2" s="1"/>
  <c r="FC10" i="2"/>
  <c r="FD10" i="2" s="1"/>
  <c r="EM6" i="2"/>
  <c r="EM27" i="2"/>
  <c r="EM46" i="2"/>
  <c r="EM50" i="2"/>
  <c r="EM53" i="2"/>
  <c r="EM21" i="2"/>
  <c r="EM51" i="2"/>
  <c r="EM11" i="2"/>
  <c r="EM28" i="2"/>
  <c r="EM31" i="2"/>
  <c r="EM40" i="2"/>
  <c r="EM43" i="2"/>
  <c r="EY55" i="2"/>
  <c r="EY59" i="2" s="1"/>
  <c r="EY60" i="2" s="1"/>
  <c r="EY61" i="2" s="1"/>
  <c r="FC11" i="2"/>
  <c r="FD11" i="2" s="1"/>
  <c r="FC7" i="2"/>
  <c r="FD7" i="2" s="1"/>
  <c r="AN63" i="2"/>
  <c r="AN65" i="2" s="1"/>
  <c r="GM37" i="2"/>
  <c r="GO37" i="2" s="1"/>
  <c r="GP37" i="2" s="1"/>
  <c r="BR13" i="2"/>
  <c r="BS13" i="2" s="1"/>
  <c r="GQ36" i="2"/>
  <c r="AB6" i="2"/>
  <c r="AC6" i="2" s="1"/>
  <c r="GP36" i="2"/>
  <c r="GP35" i="2"/>
  <c r="GR35" i="2" s="1"/>
  <c r="GS35" i="2" s="1"/>
  <c r="AB18" i="2"/>
  <c r="AC18" i="2" s="1"/>
  <c r="AB20" i="2"/>
  <c r="AC20" i="2" s="1"/>
  <c r="BE5" i="2"/>
  <c r="AB7" i="2"/>
  <c r="AC7" i="2" s="1"/>
  <c r="AM14" i="2"/>
  <c r="FQ27" i="2"/>
  <c r="FT19" i="2" s="1"/>
  <c r="GD27" i="2"/>
  <c r="GG19" i="2" s="1"/>
  <c r="BD10" i="2"/>
  <c r="AB19" i="2"/>
  <c r="AC19" i="2" s="1"/>
  <c r="AA22" i="2"/>
  <c r="AB22" i="2" s="1"/>
  <c r="AN30" i="2"/>
  <c r="AN32" i="2" s="1"/>
  <c r="AN8" i="2" s="1"/>
  <c r="AB21" i="2"/>
  <c r="AC21" i="2" s="1"/>
  <c r="BO35" i="2"/>
  <c r="BO39" i="2" s="1"/>
  <c r="BO40" i="2" s="1"/>
  <c r="CA34" i="2"/>
  <c r="BT13" i="2"/>
  <c r="BW11" i="2" s="1"/>
  <c r="BW15" i="2" s="1"/>
  <c r="F25" i="2"/>
  <c r="FB15" i="2"/>
  <c r="AA9" i="2"/>
  <c r="AB9" i="2" s="1"/>
  <c r="AB5" i="2"/>
  <c r="AC5" i="2" s="1"/>
  <c r="AZ35" i="2"/>
  <c r="AZ39" i="2" s="1"/>
  <c r="AZ40" i="2" s="1"/>
  <c r="AZ42" i="2" s="1"/>
  <c r="AZ43" i="2" s="1"/>
  <c r="AZ51" i="2" s="1"/>
  <c r="AM47" i="2"/>
  <c r="EH13" i="2"/>
  <c r="BE6" i="2"/>
  <c r="BB7" i="2"/>
  <c r="CK2" i="2"/>
  <c r="DE10" i="2"/>
  <c r="DT9" i="2"/>
  <c r="CP9" i="2"/>
  <c r="E25" i="2"/>
  <c r="E27" i="2" s="1"/>
  <c r="R7" i="2" l="1"/>
  <c r="R9" i="2"/>
  <c r="R8" i="2"/>
  <c r="R6" i="2"/>
  <c r="EY62" i="2"/>
  <c r="EY63" i="2" s="1"/>
  <c r="FD71" i="2" s="1"/>
  <c r="FC15" i="2"/>
  <c r="GQ37" i="2"/>
  <c r="GR37" i="2" s="1"/>
  <c r="GS37" i="2" s="1"/>
  <c r="FD15" i="2"/>
  <c r="FG11" i="2" s="1"/>
  <c r="FG15" i="2" s="1"/>
  <c r="AO8" i="2"/>
  <c r="AP8" i="2" s="1"/>
  <c r="GM38" i="2"/>
  <c r="GO38" i="2" s="1"/>
  <c r="GP38" i="2" s="1"/>
  <c r="AZ41" i="2"/>
  <c r="AZ53" i="2"/>
  <c r="CK3" i="2"/>
  <c r="CF26" i="2" s="1"/>
  <c r="AC22" i="2"/>
  <c r="AF25" i="2" s="1"/>
  <c r="AN13" i="2"/>
  <c r="AO13" i="2" s="1"/>
  <c r="AN46" i="2"/>
  <c r="AO46" i="2" s="1"/>
  <c r="AP46" i="2" s="1"/>
  <c r="AN43" i="2"/>
  <c r="AO43" i="2" s="1"/>
  <c r="AC9" i="2"/>
  <c r="AF11" i="2" s="1"/>
  <c r="GR36" i="2"/>
  <c r="GS36" i="2" s="1"/>
  <c r="AN10" i="2"/>
  <c r="AO10" i="2" s="1"/>
  <c r="AP10" i="2" s="1"/>
  <c r="GM39" i="2"/>
  <c r="BO42" i="2"/>
  <c r="BO43" i="2" s="1"/>
  <c r="BO41" i="2"/>
  <c r="AN42" i="2"/>
  <c r="AO42" i="2" s="1"/>
  <c r="AP42" i="2" s="1"/>
  <c r="AN11" i="2"/>
  <c r="AO11" i="2" s="1"/>
  <c r="AP11" i="2" s="1"/>
  <c r="AN44" i="2"/>
  <c r="AO44" i="2" s="1"/>
  <c r="AP44" i="2" s="1"/>
  <c r="AN12" i="2"/>
  <c r="AO12" i="2" s="1"/>
  <c r="AP12" i="2" s="1"/>
  <c r="AN9" i="2"/>
  <c r="AO9" i="2" s="1"/>
  <c r="AP9" i="2" s="1"/>
  <c r="AN45" i="2"/>
  <c r="AO45" i="2" s="1"/>
  <c r="AP45" i="2" s="1"/>
  <c r="AZ52" i="2"/>
  <c r="CA35" i="2"/>
  <c r="CD34" i="2" s="1"/>
  <c r="FD73" i="2"/>
  <c r="FD68" i="2"/>
  <c r="AZ54" i="2"/>
  <c r="DT10" i="2"/>
  <c r="CF34" i="2"/>
  <c r="E7" i="2"/>
  <c r="E5" i="2"/>
  <c r="F5" i="2" s="1"/>
  <c r="E8" i="2"/>
  <c r="E9" i="2"/>
  <c r="E6" i="2"/>
  <c r="CP10" i="2"/>
  <c r="DE11" i="2"/>
  <c r="BB8" i="2"/>
  <c r="BE7" i="2"/>
  <c r="EH14" i="2"/>
  <c r="H27" i="2"/>
  <c r="FD67" i="2" l="1"/>
  <c r="CF32" i="2"/>
  <c r="FD72" i="2"/>
  <c r="FD66" i="2"/>
  <c r="CF31" i="2"/>
  <c r="FD70" i="2"/>
  <c r="FD69" i="2"/>
  <c r="FD74" i="2"/>
  <c r="F6" i="2"/>
  <c r="G6" i="2" s="1"/>
  <c r="F9" i="2"/>
  <c r="G9" i="2" s="1"/>
  <c r="F7" i="2"/>
  <c r="G7" i="2" s="1"/>
  <c r="F8" i="2"/>
  <c r="G8" i="2" s="1"/>
  <c r="P10" i="2"/>
  <c r="CF17" i="2"/>
  <c r="CF18" i="2"/>
  <c r="CF23" i="2"/>
  <c r="CF13" i="2"/>
  <c r="CF25" i="2"/>
  <c r="CF9" i="2"/>
  <c r="CF21" i="2"/>
  <c r="CF11" i="2"/>
  <c r="CF19" i="2"/>
  <c r="CF16" i="2"/>
  <c r="CF27" i="2"/>
  <c r="CF20" i="2"/>
  <c r="CF30" i="2"/>
  <c r="CF35" i="2"/>
  <c r="CF14" i="2"/>
  <c r="CF22" i="2"/>
  <c r="GQ38" i="2"/>
  <c r="CF29" i="2"/>
  <c r="CF12" i="2"/>
  <c r="CF10" i="2"/>
  <c r="CF24" i="2"/>
  <c r="CF7" i="2"/>
  <c r="CF6" i="2"/>
  <c r="CF15" i="2"/>
  <c r="CF8" i="2"/>
  <c r="CF33" i="2"/>
  <c r="CF28" i="2"/>
  <c r="AN14" i="2"/>
  <c r="AN47" i="2"/>
  <c r="GR38" i="2"/>
  <c r="GS38" i="2" s="1"/>
  <c r="GO39" i="2"/>
  <c r="GP39" i="2" s="1"/>
  <c r="GQ39" i="2"/>
  <c r="GM40" i="2"/>
  <c r="BT48" i="2"/>
  <c r="BT49" i="2"/>
  <c r="BT46" i="2"/>
  <c r="BT45" i="2"/>
  <c r="BT51" i="2"/>
  <c r="BT50" i="2"/>
  <c r="BT47" i="2"/>
  <c r="CE34" i="2"/>
  <c r="CE30" i="2"/>
  <c r="CH30" i="2" s="1"/>
  <c r="CD18" i="2"/>
  <c r="CG18" i="2" s="1"/>
  <c r="CD16" i="2"/>
  <c r="CE26" i="2"/>
  <c r="CH26" i="2" s="1"/>
  <c r="CD22" i="2"/>
  <c r="CG22" i="2" s="1"/>
  <c r="CD31" i="2"/>
  <c r="CG31" i="2" s="1"/>
  <c r="CE33" i="2"/>
  <c r="CD12" i="2"/>
  <c r="CE14" i="2"/>
  <c r="CE24" i="2"/>
  <c r="CE15" i="2"/>
  <c r="CE19" i="2"/>
  <c r="CH19" i="2" s="1"/>
  <c r="CD23" i="2"/>
  <c r="CE27" i="2"/>
  <c r="CH27" i="2" s="1"/>
  <c r="CE11" i="2"/>
  <c r="CH11" i="2" s="1"/>
  <c r="CD7" i="2"/>
  <c r="CD10" i="2"/>
  <c r="CD35" i="2"/>
  <c r="CG35" i="2" s="1"/>
  <c r="CD13" i="2"/>
  <c r="CG13" i="2" s="1"/>
  <c r="CE17" i="2"/>
  <c r="CH17" i="2" s="1"/>
  <c r="CD21" i="2"/>
  <c r="CE25" i="2"/>
  <c r="CH25" i="2" s="1"/>
  <c r="CD29" i="2"/>
  <c r="CD14" i="2"/>
  <c r="CE18" i="2"/>
  <c r="CH18" i="2" s="1"/>
  <c r="CE22" i="2"/>
  <c r="CD26" i="2"/>
  <c r="CG26" i="2" s="1"/>
  <c r="CD30" i="2"/>
  <c r="CG30" i="2" s="1"/>
  <c r="CE8" i="2"/>
  <c r="CD11" i="2"/>
  <c r="CG11" i="2" s="1"/>
  <c r="CE7" i="2"/>
  <c r="CE32" i="2"/>
  <c r="CD15" i="2"/>
  <c r="CD27" i="2"/>
  <c r="CG27" i="2" s="1"/>
  <c r="CE16" i="2"/>
  <c r="CD24" i="2"/>
  <c r="CE10" i="2"/>
  <c r="CE9" i="2"/>
  <c r="CH9" i="2" s="1"/>
  <c r="CD33" i="2"/>
  <c r="CD32" i="2"/>
  <c r="CE20" i="2"/>
  <c r="CH20" i="2" s="1"/>
  <c r="CD28" i="2"/>
  <c r="CE13" i="2"/>
  <c r="CH13" i="2" s="1"/>
  <c r="CD17" i="2"/>
  <c r="CG17" i="2" s="1"/>
  <c r="CE21" i="2"/>
  <c r="CD25" i="2"/>
  <c r="CG25" i="2" s="1"/>
  <c r="CE29" i="2"/>
  <c r="CD9" i="2"/>
  <c r="CG9" i="2" s="1"/>
  <c r="CE6" i="2"/>
  <c r="CD8" i="2"/>
  <c r="CG8" i="2" s="1"/>
  <c r="CE31" i="2"/>
  <c r="CH31" i="2" s="1"/>
  <c r="CD19" i="2"/>
  <c r="CG19" i="2" s="1"/>
  <c r="CE23" i="2"/>
  <c r="CE12" i="2"/>
  <c r="CD20" i="2"/>
  <c r="CE28" i="2"/>
  <c r="CE35" i="2"/>
  <c r="CD6" i="2"/>
  <c r="BE8" i="2"/>
  <c r="BB9" i="2"/>
  <c r="AP43" i="2"/>
  <c r="AP47" i="2" s="1"/>
  <c r="AS45" i="2" s="1"/>
  <c r="AS48" i="2" s="1"/>
  <c r="AO47" i="2"/>
  <c r="CP11" i="2"/>
  <c r="E10" i="2"/>
  <c r="DT11" i="2"/>
  <c r="AP13" i="2"/>
  <c r="AP14" i="2" s="1"/>
  <c r="AS11" i="2" s="1"/>
  <c r="AS14" i="2" s="1"/>
  <c r="AO14" i="2"/>
  <c r="EH15" i="2"/>
  <c r="DE12" i="2"/>
  <c r="CG34" i="2"/>
  <c r="CH34" i="2"/>
  <c r="CH32" i="2" l="1"/>
  <c r="CG14" i="2"/>
  <c r="CG12" i="2"/>
  <c r="CH14" i="2"/>
  <c r="CH28" i="2"/>
  <c r="CG32" i="2"/>
  <c r="CG33" i="2"/>
  <c r="CH16" i="2"/>
  <c r="CH33" i="2"/>
  <c r="CG16" i="2"/>
  <c r="CH23" i="2"/>
  <c r="CH21" i="2"/>
  <c r="CG21" i="2"/>
  <c r="CG23" i="2"/>
  <c r="Q10" i="2"/>
  <c r="R5" i="2"/>
  <c r="R10" i="2" s="1"/>
  <c r="U11" i="2" s="1"/>
  <c r="U14" i="2" s="1"/>
  <c r="CH35" i="2"/>
  <c r="CG7" i="2"/>
  <c r="CH29" i="2"/>
  <c r="CH7" i="2"/>
  <c r="CG29" i="2"/>
  <c r="CG20" i="2"/>
  <c r="CH15" i="2"/>
  <c r="CG6" i="2"/>
  <c r="CH12" i="2"/>
  <c r="CH22" i="2"/>
  <c r="CH24" i="2"/>
  <c r="CG24" i="2"/>
  <c r="CH6" i="2"/>
  <c r="CH10" i="2"/>
  <c r="CG15" i="2"/>
  <c r="CH8" i="2"/>
  <c r="CG10" i="2"/>
  <c r="CG28" i="2"/>
  <c r="GR39" i="2"/>
  <c r="GS39" i="2" s="1"/>
  <c r="GQ40" i="2"/>
  <c r="GM41" i="2"/>
  <c r="GO40" i="2"/>
  <c r="GP40" i="2" s="1"/>
  <c r="DE13" i="2"/>
  <c r="G5" i="2"/>
  <c r="G10" i="2" s="1"/>
  <c r="J11" i="2" s="1"/>
  <c r="J14" i="2" s="1"/>
  <c r="F10" i="2"/>
  <c r="BE9" i="2"/>
  <c r="BE10" i="2" s="1"/>
  <c r="BH11" i="2" s="1"/>
  <c r="BH15" i="2" s="1"/>
  <c r="BB10" i="2"/>
  <c r="EH16" i="2"/>
  <c r="DT12" i="2"/>
  <c r="CP12" i="2"/>
  <c r="CK13" i="2" l="1"/>
  <c r="GR40" i="2"/>
  <c r="GS40" i="2" s="1"/>
  <c r="GO41" i="2"/>
  <c r="GP41" i="2" s="1"/>
  <c r="GQ41" i="2"/>
  <c r="GM42" i="2"/>
  <c r="CP13" i="2"/>
  <c r="DT13" i="2"/>
  <c r="EH17" i="2"/>
  <c r="DE14" i="2"/>
  <c r="GR41" i="2" l="1"/>
  <c r="GS41" i="2" s="1"/>
  <c r="GO42" i="2"/>
  <c r="GP42" i="2" s="1"/>
  <c r="GQ42" i="2"/>
  <c r="GM43" i="2"/>
  <c r="EH18" i="2"/>
  <c r="CP14" i="2"/>
  <c r="DE15" i="2"/>
  <c r="DT14" i="2"/>
  <c r="GR42" i="2" l="1"/>
  <c r="GS42" i="2" s="1"/>
  <c r="GO43" i="2"/>
  <c r="GP43" i="2" s="1"/>
  <c r="GQ43" i="2"/>
  <c r="GM44" i="2"/>
  <c r="DT15" i="2"/>
  <c r="DE16" i="2"/>
  <c r="CP15" i="2"/>
  <c r="EH19" i="2"/>
  <c r="GR43" i="2" l="1"/>
  <c r="GS43" i="2" s="1"/>
  <c r="GQ44" i="2"/>
  <c r="GM45" i="2"/>
  <c r="GO44" i="2"/>
  <c r="GP44" i="2" s="1"/>
  <c r="EH20" i="2"/>
  <c r="CP16" i="2"/>
  <c r="DE17" i="2"/>
  <c r="DT16" i="2"/>
  <c r="GR44" i="2" l="1"/>
  <c r="GS44" i="2" s="1"/>
  <c r="GO45" i="2"/>
  <c r="GP45" i="2" s="1"/>
  <c r="GQ45" i="2"/>
  <c r="GM46" i="2"/>
  <c r="CP17" i="2"/>
  <c r="EH21" i="2"/>
  <c r="DT17" i="2"/>
  <c r="DE18" i="2"/>
  <c r="GR45" i="2" l="1"/>
  <c r="GS45" i="2" s="1"/>
  <c r="GQ46" i="2"/>
  <c r="GO46" i="2"/>
  <c r="GP46" i="2" s="1"/>
  <c r="DE19" i="2"/>
  <c r="DW17" i="2"/>
  <c r="DZ17" i="2" s="1"/>
  <c r="DW6" i="2"/>
  <c r="DZ6" i="2" s="1"/>
  <c r="DV7" i="2"/>
  <c r="DY7" i="2" s="1"/>
  <c r="DW7" i="2"/>
  <c r="DZ7" i="2" s="1"/>
  <c r="DV6" i="2"/>
  <c r="DY6" i="2" s="1"/>
  <c r="DV8" i="2"/>
  <c r="DY8" i="2" s="1"/>
  <c r="DV17" i="2"/>
  <c r="DY17" i="2" s="1"/>
  <c r="DW8" i="2"/>
  <c r="DZ8" i="2" s="1"/>
  <c r="DW9" i="2"/>
  <c r="DZ9" i="2" s="1"/>
  <c r="DV9" i="2"/>
  <c r="DY9" i="2" s="1"/>
  <c r="DV10" i="2"/>
  <c r="DY10" i="2" s="1"/>
  <c r="DW10" i="2"/>
  <c r="DZ10" i="2" s="1"/>
  <c r="DW11" i="2"/>
  <c r="DZ11" i="2" s="1"/>
  <c r="DV11" i="2"/>
  <c r="DY11" i="2" s="1"/>
  <c r="DV12" i="2"/>
  <c r="DY12" i="2" s="1"/>
  <c r="DW12" i="2"/>
  <c r="DZ12" i="2" s="1"/>
  <c r="DW13" i="2"/>
  <c r="DZ13" i="2" s="1"/>
  <c r="DV13" i="2"/>
  <c r="DY13" i="2" s="1"/>
  <c r="DW14" i="2"/>
  <c r="DZ14" i="2" s="1"/>
  <c r="DV14" i="2"/>
  <c r="DY14" i="2" s="1"/>
  <c r="DW15" i="2"/>
  <c r="DZ15" i="2" s="1"/>
  <c r="DV15" i="2"/>
  <c r="DY15" i="2" s="1"/>
  <c r="DV16" i="2"/>
  <c r="DY16" i="2" s="1"/>
  <c r="EH22" i="2"/>
  <c r="CP18" i="2"/>
  <c r="DW16" i="2"/>
  <c r="DZ16" i="2" s="1"/>
  <c r="GR46" i="2" l="1"/>
  <c r="GS46" i="2" s="1"/>
  <c r="GS47" i="2" s="1"/>
  <c r="GV42" i="2" s="1"/>
  <c r="EH23" i="2"/>
  <c r="DE20" i="2"/>
  <c r="EC16" i="2"/>
  <c r="CP19" i="2"/>
  <c r="CP20" i="2" l="1"/>
  <c r="EH24" i="2"/>
  <c r="DE21" i="2"/>
  <c r="DE22" i="2" l="1"/>
  <c r="CP21" i="2"/>
  <c r="EH25" i="2"/>
  <c r="EH26" i="2" l="1"/>
  <c r="CP22" i="2"/>
  <c r="DE23" i="2"/>
  <c r="DE24" i="2" l="1"/>
  <c r="EH27" i="2"/>
  <c r="CP23" i="2"/>
  <c r="EH28" i="2" l="1"/>
  <c r="DE25" i="2"/>
  <c r="CP24" i="2"/>
  <c r="CP25" i="2" l="1"/>
  <c r="CR24" i="2" s="1"/>
  <c r="CU24" i="2" s="1"/>
  <c r="EH29" i="2"/>
  <c r="DH25" i="2" l="1"/>
  <c r="DK25" i="2" s="1"/>
  <c r="DG25" i="2"/>
  <c r="DJ25" i="2" s="1"/>
  <c r="CR6" i="2"/>
  <c r="CU6" i="2" s="1"/>
  <c r="CR7" i="2"/>
  <c r="CU7" i="2" s="1"/>
  <c r="CS6" i="2"/>
  <c r="CV6" i="2" s="1"/>
  <c r="DG8" i="2"/>
  <c r="DJ8" i="2" s="1"/>
  <c r="DG6" i="2"/>
  <c r="DJ6" i="2" s="1"/>
  <c r="DH6" i="2"/>
  <c r="DK6" i="2" s="1"/>
  <c r="CS25" i="2"/>
  <c r="CV25" i="2" s="1"/>
  <c r="CR25" i="2"/>
  <c r="CU25" i="2" s="1"/>
  <c r="DH8" i="2"/>
  <c r="DK8" i="2" s="1"/>
  <c r="DH7" i="2"/>
  <c r="DK7" i="2" s="1"/>
  <c r="DG9" i="2"/>
  <c r="DJ9" i="2" s="1"/>
  <c r="DG7" i="2"/>
  <c r="DJ7" i="2" s="1"/>
  <c r="CS7" i="2"/>
  <c r="CV7" i="2" s="1"/>
  <c r="CS8" i="2"/>
  <c r="CV8" i="2" s="1"/>
  <c r="DH9" i="2"/>
  <c r="DK9" i="2" s="1"/>
  <c r="CR8" i="2"/>
  <c r="CU8" i="2" s="1"/>
  <c r="CR9" i="2"/>
  <c r="CU9" i="2" s="1"/>
  <c r="DG10" i="2"/>
  <c r="DJ10" i="2" s="1"/>
  <c r="CS9" i="2"/>
  <c r="CV9" i="2" s="1"/>
  <c r="DH10" i="2"/>
  <c r="DK10" i="2" s="1"/>
  <c r="CR10" i="2"/>
  <c r="CU10" i="2" s="1"/>
  <c r="DH11" i="2"/>
  <c r="DK11" i="2" s="1"/>
  <c r="CS10" i="2"/>
  <c r="CV10" i="2" s="1"/>
  <c r="DG11" i="2"/>
  <c r="DJ11" i="2" s="1"/>
  <c r="DG12" i="2"/>
  <c r="DJ12" i="2" s="1"/>
  <c r="DH12" i="2"/>
  <c r="DK12" i="2" s="1"/>
  <c r="CS11" i="2"/>
  <c r="CV11" i="2" s="1"/>
  <c r="CR11" i="2"/>
  <c r="CU11" i="2" s="1"/>
  <c r="CR12" i="2"/>
  <c r="CU12" i="2" s="1"/>
  <c r="DH13" i="2"/>
  <c r="DK13" i="2" s="1"/>
  <c r="CS12" i="2"/>
  <c r="CV12" i="2" s="1"/>
  <c r="DG13" i="2"/>
  <c r="DJ13" i="2" s="1"/>
  <c r="CR13" i="2"/>
  <c r="CU13" i="2" s="1"/>
  <c r="CS13" i="2"/>
  <c r="CV13" i="2" s="1"/>
  <c r="DH14" i="2"/>
  <c r="DK14" i="2" s="1"/>
  <c r="DG14" i="2"/>
  <c r="DJ14" i="2" s="1"/>
  <c r="CR14" i="2"/>
  <c r="CU14" i="2" s="1"/>
  <c r="DH15" i="2"/>
  <c r="DK15" i="2" s="1"/>
  <c r="DG15" i="2"/>
  <c r="DJ15" i="2" s="1"/>
  <c r="CS14" i="2"/>
  <c r="CV14" i="2" s="1"/>
  <c r="CR15" i="2"/>
  <c r="CU15" i="2" s="1"/>
  <c r="DG16" i="2"/>
  <c r="DJ16" i="2" s="1"/>
  <c r="CS15" i="2"/>
  <c r="CV15" i="2" s="1"/>
  <c r="DH16" i="2"/>
  <c r="DK16" i="2" s="1"/>
  <c r="CR16" i="2"/>
  <c r="CU16" i="2" s="1"/>
  <c r="CS16" i="2"/>
  <c r="CV16" i="2" s="1"/>
  <c r="DH17" i="2"/>
  <c r="DK17" i="2" s="1"/>
  <c r="DG17" i="2"/>
  <c r="DJ17" i="2" s="1"/>
  <c r="DG18" i="2"/>
  <c r="DJ18" i="2" s="1"/>
  <c r="CS17" i="2"/>
  <c r="CV17" i="2" s="1"/>
  <c r="DH18" i="2"/>
  <c r="DK18" i="2" s="1"/>
  <c r="CR17" i="2"/>
  <c r="CU17" i="2" s="1"/>
  <c r="DG19" i="2"/>
  <c r="DJ19" i="2" s="1"/>
  <c r="CR18" i="2"/>
  <c r="CU18" i="2" s="1"/>
  <c r="CS18" i="2"/>
  <c r="CV18" i="2" s="1"/>
  <c r="DH19" i="2"/>
  <c r="DK19" i="2" s="1"/>
  <c r="CS19" i="2"/>
  <c r="CV19" i="2" s="1"/>
  <c r="DH20" i="2"/>
  <c r="DK20" i="2" s="1"/>
  <c r="CR19" i="2"/>
  <c r="CU19" i="2" s="1"/>
  <c r="DG20" i="2"/>
  <c r="DJ20" i="2" s="1"/>
  <c r="DG21" i="2"/>
  <c r="DJ21" i="2" s="1"/>
  <c r="CS20" i="2"/>
  <c r="CV20" i="2" s="1"/>
  <c r="CR20" i="2"/>
  <c r="CU20" i="2" s="1"/>
  <c r="DH21" i="2"/>
  <c r="DK21" i="2" s="1"/>
  <c r="CR21" i="2"/>
  <c r="CU21" i="2" s="1"/>
  <c r="CS21" i="2"/>
  <c r="CV21" i="2" s="1"/>
  <c r="DG22" i="2"/>
  <c r="DJ22" i="2" s="1"/>
  <c r="DH22" i="2"/>
  <c r="DK22" i="2" s="1"/>
  <c r="DH23" i="2"/>
  <c r="DK23" i="2" s="1"/>
  <c r="DG23" i="2"/>
  <c r="DJ23" i="2" s="1"/>
  <c r="CR22" i="2"/>
  <c r="CU22" i="2" s="1"/>
  <c r="CS22" i="2"/>
  <c r="CV22" i="2" s="1"/>
  <c r="DH24" i="2"/>
  <c r="DK24" i="2" s="1"/>
  <c r="DG24" i="2"/>
  <c r="DJ24" i="2" s="1"/>
  <c r="CS23" i="2"/>
  <c r="CV23" i="2" s="1"/>
  <c r="CR23" i="2"/>
  <c r="CU23" i="2" s="1"/>
  <c r="EH30" i="2"/>
  <c r="CS24" i="2"/>
  <c r="CV24" i="2" s="1"/>
  <c r="DN16" i="2" l="1"/>
  <c r="CY16" i="2"/>
  <c r="EH31" i="2"/>
  <c r="EH32" i="2" l="1"/>
  <c r="EH33" i="2" l="1"/>
  <c r="EH34" i="2" l="1"/>
  <c r="EH35" i="2" l="1"/>
  <c r="EH36" i="2" l="1"/>
  <c r="EH37" i="2" l="1"/>
  <c r="EH38" i="2" l="1"/>
  <c r="EH39" i="2" l="1"/>
  <c r="EH40" i="2" l="1"/>
  <c r="EH41" i="2" l="1"/>
  <c r="EH42" i="2" l="1"/>
  <c r="EH43" i="2" l="1"/>
  <c r="EH44" i="2" l="1"/>
  <c r="EH45" i="2" l="1"/>
  <c r="EH46" i="2" l="1"/>
  <c r="EH47" i="2" l="1"/>
  <c r="EH48" i="2" l="1"/>
  <c r="EH49" i="2" l="1"/>
  <c r="EH50" i="2" l="1"/>
  <c r="EH51" i="2" l="1"/>
  <c r="EH52" i="2" l="1"/>
  <c r="EH53" i="2" l="1"/>
  <c r="EH54" i="2" l="1"/>
  <c r="EH55" i="2" l="1"/>
  <c r="EK54" i="2" s="1"/>
  <c r="EN54" i="2" s="1"/>
  <c r="EL54" i="2" l="1"/>
  <c r="EO54" i="2" s="1"/>
  <c r="EL6" i="2"/>
  <c r="EO6" i="2" s="1"/>
  <c r="EK6" i="2"/>
  <c r="EN6" i="2" s="1"/>
  <c r="EL55" i="2"/>
  <c r="EO55" i="2" s="1"/>
  <c r="EK55" i="2"/>
  <c r="EN55" i="2" s="1"/>
  <c r="EL7" i="2"/>
  <c r="EO7" i="2" s="1"/>
  <c r="EK7" i="2"/>
  <c r="EN7" i="2" s="1"/>
  <c r="EK9" i="2"/>
  <c r="EN9" i="2" s="1"/>
  <c r="EK8" i="2"/>
  <c r="EN8" i="2" s="1"/>
  <c r="EL9" i="2"/>
  <c r="EO9" i="2" s="1"/>
  <c r="EL8" i="2"/>
  <c r="EO8" i="2" s="1"/>
  <c r="EL10" i="2"/>
  <c r="EO10" i="2" s="1"/>
  <c r="EK10" i="2"/>
  <c r="EN10" i="2" s="1"/>
  <c r="EK11" i="2"/>
  <c r="EN11" i="2" s="1"/>
  <c r="EL11" i="2"/>
  <c r="EO11" i="2" s="1"/>
  <c r="EL12" i="2"/>
  <c r="EO12" i="2" s="1"/>
  <c r="EK12" i="2"/>
  <c r="EN12" i="2" s="1"/>
  <c r="EK13" i="2"/>
  <c r="EN13" i="2" s="1"/>
  <c r="EL13" i="2"/>
  <c r="EO13" i="2" s="1"/>
  <c r="EK14" i="2"/>
  <c r="EN14" i="2" s="1"/>
  <c r="EL14" i="2"/>
  <c r="EO14" i="2" s="1"/>
  <c r="EK15" i="2"/>
  <c r="EN15" i="2" s="1"/>
  <c r="EL15" i="2"/>
  <c r="EO15" i="2" s="1"/>
  <c r="EK16" i="2"/>
  <c r="EN16" i="2" s="1"/>
  <c r="EL16" i="2"/>
  <c r="EO16" i="2" s="1"/>
  <c r="EK17" i="2"/>
  <c r="EN17" i="2" s="1"/>
  <c r="EL17" i="2"/>
  <c r="EO17" i="2" s="1"/>
  <c r="EL18" i="2"/>
  <c r="EO18" i="2" s="1"/>
  <c r="EK18" i="2"/>
  <c r="EN18" i="2" s="1"/>
  <c r="EK19" i="2"/>
  <c r="EN19" i="2" s="1"/>
  <c r="EL19" i="2"/>
  <c r="EO19" i="2" s="1"/>
  <c r="EL20" i="2"/>
  <c r="EO20" i="2" s="1"/>
  <c r="EK20" i="2"/>
  <c r="EN20" i="2" s="1"/>
  <c r="EK21" i="2"/>
  <c r="EN21" i="2" s="1"/>
  <c r="EL21" i="2"/>
  <c r="EO21" i="2" s="1"/>
  <c r="EK22" i="2"/>
  <c r="EN22" i="2" s="1"/>
  <c r="EL22" i="2"/>
  <c r="EO22" i="2" s="1"/>
  <c r="EL23" i="2"/>
  <c r="EO23" i="2" s="1"/>
  <c r="EK23" i="2"/>
  <c r="EN23" i="2" s="1"/>
  <c r="EL24" i="2"/>
  <c r="EO24" i="2" s="1"/>
  <c r="EK24" i="2"/>
  <c r="EN24" i="2" s="1"/>
  <c r="EK25" i="2"/>
  <c r="EN25" i="2" s="1"/>
  <c r="EL25" i="2"/>
  <c r="EO25" i="2" s="1"/>
  <c r="EL26" i="2"/>
  <c r="EO26" i="2" s="1"/>
  <c r="EK26" i="2"/>
  <c r="EN26" i="2" s="1"/>
  <c r="EL27" i="2"/>
  <c r="EO27" i="2" s="1"/>
  <c r="EK27" i="2"/>
  <c r="EN27" i="2" s="1"/>
  <c r="EK28" i="2"/>
  <c r="EN28" i="2" s="1"/>
  <c r="EL28" i="2"/>
  <c r="EO28" i="2" s="1"/>
  <c r="EL29" i="2"/>
  <c r="EO29" i="2" s="1"/>
  <c r="EK29" i="2"/>
  <c r="EN29" i="2" s="1"/>
  <c r="EK30" i="2"/>
  <c r="EN30" i="2" s="1"/>
  <c r="EL30" i="2"/>
  <c r="EO30" i="2" s="1"/>
  <c r="EK31" i="2"/>
  <c r="EN31" i="2" s="1"/>
  <c r="EL31" i="2"/>
  <c r="EO31" i="2" s="1"/>
  <c r="EK32" i="2"/>
  <c r="EN32" i="2" s="1"/>
  <c r="EL32" i="2"/>
  <c r="EO32" i="2" s="1"/>
  <c r="EK33" i="2"/>
  <c r="EN33" i="2" s="1"/>
  <c r="EL33" i="2"/>
  <c r="EO33" i="2" s="1"/>
  <c r="EL34" i="2"/>
  <c r="EO34" i="2" s="1"/>
  <c r="EK34" i="2"/>
  <c r="EN34" i="2" s="1"/>
  <c r="EK35" i="2"/>
  <c r="EN35" i="2" s="1"/>
  <c r="EL35" i="2"/>
  <c r="EO35" i="2" s="1"/>
  <c r="EK36" i="2"/>
  <c r="EN36" i="2" s="1"/>
  <c r="EL36" i="2"/>
  <c r="EO36" i="2" s="1"/>
  <c r="EL37" i="2"/>
  <c r="EO37" i="2" s="1"/>
  <c r="EK37" i="2"/>
  <c r="EN37" i="2" s="1"/>
  <c r="EK38" i="2"/>
  <c r="EN38" i="2" s="1"/>
  <c r="EL38" i="2"/>
  <c r="EO38" i="2" s="1"/>
  <c r="EL39" i="2"/>
  <c r="EO39" i="2" s="1"/>
  <c r="EK39" i="2"/>
  <c r="EN39" i="2" s="1"/>
  <c r="EK40" i="2"/>
  <c r="EN40" i="2" s="1"/>
  <c r="EL40" i="2"/>
  <c r="EO40" i="2" s="1"/>
  <c r="EK41" i="2"/>
  <c r="EN41" i="2" s="1"/>
  <c r="EL41" i="2"/>
  <c r="EO41" i="2" s="1"/>
  <c r="EK42" i="2"/>
  <c r="EN42" i="2" s="1"/>
  <c r="EL42" i="2"/>
  <c r="EO42" i="2" s="1"/>
  <c r="EL43" i="2"/>
  <c r="EO43" i="2" s="1"/>
  <c r="EK43" i="2"/>
  <c r="EN43" i="2" s="1"/>
  <c r="EK44" i="2"/>
  <c r="EN44" i="2" s="1"/>
  <c r="EL44" i="2"/>
  <c r="EO44" i="2" s="1"/>
  <c r="EL45" i="2"/>
  <c r="EO45" i="2" s="1"/>
  <c r="EK45" i="2"/>
  <c r="EN45" i="2" s="1"/>
  <c r="EK46" i="2"/>
  <c r="EN46" i="2" s="1"/>
  <c r="EL46" i="2"/>
  <c r="EO46" i="2" s="1"/>
  <c r="EL47" i="2"/>
  <c r="EO47" i="2" s="1"/>
  <c r="EK47" i="2"/>
  <c r="EN47" i="2" s="1"/>
  <c r="EK48" i="2"/>
  <c r="EN48" i="2" s="1"/>
  <c r="EL48" i="2"/>
  <c r="EO48" i="2" s="1"/>
  <c r="EL49" i="2"/>
  <c r="EO49" i="2" s="1"/>
  <c r="EK49" i="2"/>
  <c r="EN49" i="2" s="1"/>
  <c r="EK50" i="2"/>
  <c r="EN50" i="2" s="1"/>
  <c r="EL50" i="2"/>
  <c r="EO50" i="2" s="1"/>
  <c r="EL51" i="2"/>
  <c r="EO51" i="2" s="1"/>
  <c r="EK51" i="2"/>
  <c r="EN51" i="2" s="1"/>
  <c r="EL52" i="2"/>
  <c r="EO52" i="2" s="1"/>
  <c r="EK52" i="2"/>
  <c r="EN52" i="2" s="1"/>
  <c r="EK53" i="2"/>
  <c r="EN53" i="2" s="1"/>
  <c r="EL53" i="2"/>
  <c r="EO53" i="2" s="1"/>
  <c r="ER13" i="2" l="1"/>
</calcChain>
</file>

<file path=xl/comments1.xml><?xml version="1.0" encoding="utf-8"?>
<comments xmlns="http://schemas.openxmlformats.org/spreadsheetml/2006/main">
  <authors>
    <author>JHernandez</author>
    <author>julio.hernandez.marc</author>
  </authors>
  <commentList>
    <comment ref="AX4" authorId="0" shape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Generadas por una N(6;1,75)</t>
        </r>
      </text>
    </comment>
    <comment ref="BM4" authorId="0" shape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Generadas por una N(6;1,75)</t>
        </r>
      </text>
    </comment>
    <comment ref="CB5" authorId="0" shape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Generadas por una N(6;1,75)</t>
        </r>
      </text>
    </comment>
    <comment ref="EI5" authorId="0" shape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Generadas por una N(5;1,5)</t>
        </r>
      </text>
    </comment>
    <comment ref="DF6" authorId="1" shapeId="0">
      <text>
        <r>
          <rPr>
            <b/>
            <sz val="10"/>
            <color indexed="81"/>
            <rFont val="Tahoma"/>
            <family val="2"/>
          </rPr>
          <t>julio.hernandez.marc:</t>
        </r>
        <r>
          <rPr>
            <sz val="10"/>
            <color indexed="81"/>
            <rFont val="Tahoma"/>
            <family val="2"/>
          </rPr>
          <t xml:space="preserve">
Generados con una N(15;2)</t>
        </r>
      </text>
    </comment>
  </commentList>
</comments>
</file>

<file path=xl/sharedStrings.xml><?xml version="1.0" encoding="utf-8"?>
<sst xmlns="http://schemas.openxmlformats.org/spreadsheetml/2006/main" count="977" uniqueCount="370">
  <si>
    <t>Oi</t>
  </si>
  <si>
    <t>Pi</t>
  </si>
  <si>
    <t>Ei</t>
  </si>
  <si>
    <t>Xi</t>
  </si>
  <si>
    <t>ni</t>
  </si>
  <si>
    <t>Xi*ni</t>
  </si>
  <si>
    <r>
      <t xml:space="preserve">a = </t>
    </r>
    <r>
      <rPr>
        <sz val="11"/>
        <color indexed="8"/>
        <rFont val="Calibri"/>
        <family val="2"/>
      </rPr>
      <t>λ*</t>
    </r>
  </si>
  <si>
    <t>n</t>
  </si>
  <si>
    <t>dc</t>
  </si>
  <si>
    <t>α</t>
  </si>
  <si>
    <t>d</t>
  </si>
  <si>
    <t>+ ∞</t>
  </si>
  <si>
    <t>- ∞</t>
  </si>
  <si>
    <t>Poisson</t>
  </si>
  <si>
    <t>H0:</t>
  </si>
  <si>
    <t>H1:</t>
  </si>
  <si>
    <t>Total</t>
  </si>
  <si>
    <t>m</t>
  </si>
  <si>
    <t>ξ</t>
  </si>
  <si>
    <t>B(m;p)</t>
  </si>
  <si>
    <t>p*</t>
  </si>
  <si>
    <r>
      <t>Xi</t>
    </r>
    <r>
      <rPr>
        <vertAlign val="superscript"/>
        <sz val="11"/>
        <color indexed="8"/>
        <rFont val="Calibri"/>
        <family val="2"/>
      </rPr>
      <t>2</t>
    </r>
  </si>
  <si>
    <r>
      <t>Xi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*ni</t>
    </r>
  </si>
  <si>
    <r>
      <t>S</t>
    </r>
    <r>
      <rPr>
        <vertAlign val="superscript"/>
        <sz val="11"/>
        <color indexed="8"/>
        <rFont val="Calibri"/>
        <family val="2"/>
      </rPr>
      <t>2</t>
    </r>
  </si>
  <si>
    <t>a</t>
  </si>
  <si>
    <t>S</t>
  </si>
  <si>
    <r>
      <t>z</t>
    </r>
    <r>
      <rPr>
        <vertAlign val="subscript"/>
        <sz val="11"/>
        <color indexed="8"/>
        <rFont val="Calibri"/>
        <family val="2"/>
      </rPr>
      <t>0,2</t>
    </r>
  </si>
  <si>
    <r>
      <t>z</t>
    </r>
    <r>
      <rPr>
        <vertAlign val="subscript"/>
        <sz val="11"/>
        <color indexed="8"/>
        <rFont val="Calibri"/>
        <family val="2"/>
      </rPr>
      <t>0,4</t>
    </r>
  </si>
  <si>
    <r>
      <t>z</t>
    </r>
    <r>
      <rPr>
        <vertAlign val="subscript"/>
        <sz val="11"/>
        <color indexed="8"/>
        <rFont val="Calibri"/>
        <family val="2"/>
      </rPr>
      <t>0,6</t>
    </r>
  </si>
  <si>
    <r>
      <t>z</t>
    </r>
    <r>
      <rPr>
        <vertAlign val="subscript"/>
        <sz val="11"/>
        <color indexed="8"/>
        <rFont val="Calibri"/>
        <family val="2"/>
      </rPr>
      <t>0,8</t>
    </r>
  </si>
  <si>
    <r>
      <t>S</t>
    </r>
    <r>
      <rPr>
        <vertAlign val="subscript"/>
        <sz val="11"/>
        <color indexed="8"/>
        <rFont val="Calibri"/>
        <family val="2"/>
      </rPr>
      <t>1</t>
    </r>
    <r>
      <rPr>
        <vertAlign val="superscript"/>
        <sz val="11"/>
        <color indexed="8"/>
        <rFont val="Calibri"/>
        <family val="2"/>
      </rPr>
      <t>2</t>
    </r>
  </si>
  <si>
    <r>
      <t>a</t>
    </r>
    <r>
      <rPr>
        <vertAlign val="subscript"/>
        <sz val="11"/>
        <color indexed="8"/>
        <rFont val="Calibri"/>
        <family val="2"/>
      </rPr>
      <t>2</t>
    </r>
  </si>
  <si>
    <r>
      <t>S</t>
    </r>
    <r>
      <rPr>
        <vertAlign val="subscript"/>
        <sz val="11"/>
        <color indexed="8"/>
        <rFont val="Calibri"/>
        <family val="2"/>
      </rPr>
      <t>1</t>
    </r>
  </si>
  <si>
    <r>
      <t>a-0,84S</t>
    </r>
    <r>
      <rPr>
        <vertAlign val="subscript"/>
        <sz val="11"/>
        <color indexed="8"/>
        <rFont val="Calibri"/>
        <family val="2"/>
      </rPr>
      <t>1</t>
    </r>
  </si>
  <si>
    <r>
      <t>a-0,25S</t>
    </r>
    <r>
      <rPr>
        <vertAlign val="subscript"/>
        <sz val="11"/>
        <color indexed="8"/>
        <rFont val="Calibri"/>
        <family val="2"/>
      </rPr>
      <t>1</t>
    </r>
  </si>
  <si>
    <r>
      <t>a+0,25S</t>
    </r>
    <r>
      <rPr>
        <vertAlign val="subscript"/>
        <sz val="11"/>
        <color indexed="8"/>
        <rFont val="Calibri"/>
        <family val="2"/>
      </rPr>
      <t>1</t>
    </r>
  </si>
  <si>
    <r>
      <t>a+0,84S</t>
    </r>
    <r>
      <rPr>
        <vertAlign val="subscript"/>
        <sz val="11"/>
        <color indexed="8"/>
        <rFont val="Calibri"/>
        <family val="2"/>
      </rPr>
      <t>1</t>
    </r>
  </si>
  <si>
    <t>[0-4,07]</t>
  </si>
  <si>
    <t>(4,07-5]</t>
  </si>
  <si>
    <t>(5-5,81]</t>
  </si>
  <si>
    <t>(5,81-6,75]</t>
  </si>
  <si>
    <t>(6,75-10]</t>
  </si>
  <si>
    <t>(r-1)/n</t>
  </si>
  <si>
    <t>r/n</t>
  </si>
  <si>
    <r>
      <t>F</t>
    </r>
    <r>
      <rPr>
        <vertAlign val="subscript"/>
        <sz val="11"/>
        <color indexed="8"/>
        <rFont val="Calibri"/>
        <family val="2"/>
      </rPr>
      <t>Oi</t>
    </r>
    <r>
      <rPr>
        <sz val="11"/>
        <color theme="1"/>
        <rFont val="Calibri"/>
        <family val="2"/>
        <scheme val="minor"/>
      </rPr>
      <t>(x</t>
    </r>
    <r>
      <rPr>
        <vertAlign val="subscript"/>
        <sz val="11"/>
        <color indexed="8"/>
        <rFont val="Calibri"/>
        <family val="2"/>
      </rPr>
      <t>i-1</t>
    </r>
    <r>
      <rPr>
        <sz val="11"/>
        <color theme="1"/>
        <rFont val="Calibri"/>
        <family val="2"/>
        <scheme val="minor"/>
      </rPr>
      <t>)</t>
    </r>
  </si>
  <si>
    <r>
      <t>F</t>
    </r>
    <r>
      <rPr>
        <vertAlign val="subscript"/>
        <sz val="11"/>
        <color indexed="8"/>
        <rFont val="Calibri"/>
        <family val="2"/>
      </rPr>
      <t>Oi</t>
    </r>
    <r>
      <rPr>
        <sz val="11"/>
        <color theme="1"/>
        <rFont val="Calibri"/>
        <family val="2"/>
        <scheme val="minor"/>
      </rPr>
      <t>(x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)</t>
    </r>
  </si>
  <si>
    <r>
      <t>F</t>
    </r>
    <r>
      <rPr>
        <sz val="11"/>
        <color theme="1"/>
        <rFont val="Calibri"/>
        <family val="2"/>
        <scheme val="minor"/>
      </rPr>
      <t>(x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)</t>
    </r>
  </si>
  <si>
    <t>μ*</t>
  </si>
  <si>
    <t>σ*</t>
  </si>
  <si>
    <r>
      <rPr>
        <sz val="11"/>
        <color indexed="8"/>
        <rFont val="Calibri"/>
        <family val="2"/>
      </rPr>
      <t>|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indexed="8"/>
        <rFont val="Calibri"/>
        <family val="2"/>
      </rPr>
      <t>Oi</t>
    </r>
    <r>
      <rPr>
        <sz val="11"/>
        <color theme="1"/>
        <rFont val="Calibri"/>
        <family val="2"/>
        <scheme val="minor"/>
      </rPr>
      <t>(x</t>
    </r>
    <r>
      <rPr>
        <vertAlign val="subscript"/>
        <sz val="11"/>
        <color indexed="8"/>
        <rFont val="Calibri"/>
        <family val="2"/>
      </rPr>
      <t>i-1</t>
    </r>
    <r>
      <rPr>
        <sz val="11"/>
        <color theme="1"/>
        <rFont val="Calibri"/>
        <family val="2"/>
        <scheme val="minor"/>
      </rPr>
      <t>)-F(x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)</t>
    </r>
    <r>
      <rPr>
        <sz val="11"/>
        <color indexed="8"/>
        <rFont val="Calibri"/>
        <family val="2"/>
      </rPr>
      <t>|</t>
    </r>
  </si>
  <si>
    <r>
      <rPr>
        <sz val="11"/>
        <color indexed="8"/>
        <rFont val="Calibri"/>
        <family val="2"/>
      </rPr>
      <t>|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indexed="8"/>
        <rFont val="Calibri"/>
        <family val="2"/>
      </rPr>
      <t>Oi</t>
    </r>
    <r>
      <rPr>
        <sz val="11"/>
        <color theme="1"/>
        <rFont val="Calibri"/>
        <family val="2"/>
        <scheme val="minor"/>
      </rPr>
      <t>(x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)-F(x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)</t>
    </r>
    <r>
      <rPr>
        <sz val="11"/>
        <color indexed="8"/>
        <rFont val="Calibri"/>
        <family val="2"/>
      </rPr>
      <t>|</t>
    </r>
  </si>
  <si>
    <r>
      <t>F</t>
    </r>
    <r>
      <rPr>
        <vertAlign val="subscript"/>
        <sz val="12"/>
        <color indexed="8"/>
        <rFont val="Calibri"/>
        <family val="2"/>
      </rPr>
      <t>oi</t>
    </r>
    <r>
      <rPr>
        <sz val="12"/>
        <color indexed="8"/>
        <rFont val="Calibri"/>
        <family val="2"/>
      </rPr>
      <t>(x</t>
    </r>
    <r>
      <rPr>
        <vertAlign val="subscript"/>
        <sz val="12"/>
        <color indexed="8"/>
        <rFont val="Calibri"/>
        <family val="2"/>
      </rPr>
      <t>i-1</t>
    </r>
    <r>
      <rPr>
        <sz val="12"/>
        <color indexed="8"/>
        <rFont val="Calibri"/>
        <family val="2"/>
      </rPr>
      <t>)</t>
    </r>
  </si>
  <si>
    <r>
      <t>F</t>
    </r>
    <r>
      <rPr>
        <vertAlign val="subscript"/>
        <sz val="12"/>
        <color indexed="8"/>
        <rFont val="Calibri"/>
        <family val="2"/>
      </rPr>
      <t>oi</t>
    </r>
    <r>
      <rPr>
        <sz val="12"/>
        <color indexed="8"/>
        <rFont val="Calibri"/>
        <family val="2"/>
      </rPr>
      <t>(x</t>
    </r>
    <r>
      <rPr>
        <vertAlign val="subscript"/>
        <sz val="12"/>
        <color indexed="8"/>
        <rFont val="Calibri"/>
        <family val="2"/>
      </rPr>
      <t>i</t>
    </r>
    <r>
      <rPr>
        <sz val="12"/>
        <color indexed="8"/>
        <rFont val="Calibri"/>
        <family val="2"/>
      </rPr>
      <t>)</t>
    </r>
  </si>
  <si>
    <r>
      <t>F</t>
    </r>
    <r>
      <rPr>
        <sz val="12"/>
        <color indexed="8"/>
        <rFont val="Calibri"/>
        <family val="2"/>
      </rPr>
      <t>(x</t>
    </r>
    <r>
      <rPr>
        <vertAlign val="subscript"/>
        <sz val="12"/>
        <color indexed="8"/>
        <rFont val="Calibri"/>
        <family val="2"/>
      </rPr>
      <t>i</t>
    </r>
    <r>
      <rPr>
        <sz val="12"/>
        <color indexed="8"/>
        <rFont val="Calibri"/>
        <family val="2"/>
      </rPr>
      <t>)</t>
    </r>
  </si>
  <si>
    <r>
      <t>d</t>
    </r>
    <r>
      <rPr>
        <vertAlign val="subscript"/>
        <sz val="12"/>
        <color indexed="8"/>
        <rFont val="Calibri"/>
        <family val="2"/>
      </rPr>
      <t>i-1</t>
    </r>
  </si>
  <si>
    <r>
      <t>d</t>
    </r>
    <r>
      <rPr>
        <vertAlign val="subscript"/>
        <sz val="12"/>
        <color indexed="8"/>
        <rFont val="Calibri"/>
        <family val="2"/>
      </rPr>
      <t>i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</si>
  <si>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indexed="8"/>
        <rFont val="Calibri"/>
        <family val="2"/>
      </rPr>
      <t>i</t>
    </r>
  </si>
  <si>
    <t>R</t>
  </si>
  <si>
    <t>= (R-1)/n</t>
  </si>
  <si>
    <t>= R/n</t>
  </si>
  <si>
    <t>b</t>
  </si>
  <si>
    <t>&gt; 0,2</t>
  </si>
  <si>
    <t>&lt; 0,05</t>
  </si>
  <si>
    <t>&gt; 0,05</t>
  </si>
  <si>
    <r>
      <t>z</t>
    </r>
    <r>
      <rPr>
        <vertAlign val="subscript"/>
        <sz val="11"/>
        <color indexed="8"/>
        <rFont val="Calibri"/>
        <family val="2"/>
      </rPr>
      <t>0,5</t>
    </r>
    <r>
      <rPr>
        <sz val="11"/>
        <color indexed="8"/>
        <rFont val="Calibri"/>
        <family val="2"/>
      </rPr>
      <t/>
    </r>
  </si>
  <si>
    <r>
      <t>z</t>
    </r>
    <r>
      <rPr>
        <vertAlign val="subscript"/>
        <sz val="11"/>
        <color indexed="8"/>
        <rFont val="Calibri"/>
        <family val="2"/>
      </rPr>
      <t>0,9</t>
    </r>
    <r>
      <rPr>
        <sz val="11"/>
        <color indexed="8"/>
        <rFont val="Calibri"/>
        <family val="2"/>
      </rPr>
      <t/>
    </r>
  </si>
  <si>
    <r>
      <t>a-1,28S</t>
    </r>
    <r>
      <rPr>
        <vertAlign val="subscript"/>
        <sz val="11"/>
        <color indexed="8"/>
        <rFont val="Calibri"/>
        <family val="2"/>
      </rPr>
      <t>1</t>
    </r>
  </si>
  <si>
    <r>
      <t>a-0,52S</t>
    </r>
    <r>
      <rPr>
        <vertAlign val="subscript"/>
        <sz val="11"/>
        <color indexed="8"/>
        <rFont val="Calibri"/>
        <family val="2"/>
      </rPr>
      <t>1</t>
    </r>
  </si>
  <si>
    <r>
      <t>a+0,52S</t>
    </r>
    <r>
      <rPr>
        <vertAlign val="subscript"/>
        <sz val="11"/>
        <color indexed="8"/>
        <rFont val="Calibri"/>
        <family val="2"/>
      </rPr>
      <t>1</t>
    </r>
  </si>
  <si>
    <r>
      <t>a+1,28S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</si>
  <si>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0,125</t>
    </r>
  </si>
  <si>
    <r>
      <t>z</t>
    </r>
    <r>
      <rPr>
        <vertAlign val="subscript"/>
        <sz val="11"/>
        <color indexed="8"/>
        <rFont val="Calibri"/>
        <family val="2"/>
      </rPr>
      <t>0,25</t>
    </r>
  </si>
  <si>
    <r>
      <t>z</t>
    </r>
    <r>
      <rPr>
        <vertAlign val="subscript"/>
        <sz val="11"/>
        <color indexed="8"/>
        <rFont val="Calibri"/>
        <family val="2"/>
      </rPr>
      <t>0,375</t>
    </r>
  </si>
  <si>
    <r>
      <t>z</t>
    </r>
    <r>
      <rPr>
        <vertAlign val="subscript"/>
        <sz val="11"/>
        <color indexed="8"/>
        <rFont val="Calibri"/>
        <family val="2"/>
      </rPr>
      <t>0,625</t>
    </r>
  </si>
  <si>
    <r>
      <t>z</t>
    </r>
    <r>
      <rPr>
        <vertAlign val="subscript"/>
        <sz val="11"/>
        <color indexed="8"/>
        <rFont val="Calibri"/>
        <family val="2"/>
      </rPr>
      <t>0,75</t>
    </r>
  </si>
  <si>
    <r>
      <t>z</t>
    </r>
    <r>
      <rPr>
        <vertAlign val="subscript"/>
        <sz val="11"/>
        <color indexed="8"/>
        <rFont val="Calibri"/>
        <family val="2"/>
      </rPr>
      <t>0,875</t>
    </r>
  </si>
  <si>
    <r>
      <t>a-1,15S</t>
    </r>
    <r>
      <rPr>
        <vertAlign val="subscript"/>
        <sz val="11"/>
        <color indexed="8"/>
        <rFont val="Calibri"/>
        <family val="2"/>
      </rPr>
      <t>1</t>
    </r>
  </si>
  <si>
    <r>
      <t>a-0,67S</t>
    </r>
    <r>
      <rPr>
        <vertAlign val="subscript"/>
        <sz val="11"/>
        <color indexed="8"/>
        <rFont val="Calibri"/>
        <family val="2"/>
      </rPr>
      <t>1</t>
    </r>
  </si>
  <si>
    <r>
      <t>a-0,32S</t>
    </r>
    <r>
      <rPr>
        <vertAlign val="subscript"/>
        <sz val="11"/>
        <color indexed="8"/>
        <rFont val="Calibri"/>
        <family val="2"/>
      </rPr>
      <t>1</t>
    </r>
  </si>
  <si>
    <r>
      <t>a+0,32S</t>
    </r>
    <r>
      <rPr>
        <vertAlign val="subscript"/>
        <sz val="11"/>
        <color indexed="8"/>
        <rFont val="Calibri"/>
        <family val="2"/>
      </rPr>
      <t>1</t>
    </r>
  </si>
  <si>
    <r>
      <t>a+0,67S</t>
    </r>
    <r>
      <rPr>
        <vertAlign val="subscript"/>
        <sz val="11"/>
        <color indexed="8"/>
        <rFont val="Calibri"/>
        <family val="2"/>
      </rPr>
      <t>1</t>
    </r>
  </si>
  <si>
    <r>
      <t>a+1,15S</t>
    </r>
    <r>
      <rPr>
        <vertAlign val="subscript"/>
        <sz val="11"/>
        <color indexed="8"/>
        <rFont val="Calibri"/>
        <family val="2"/>
      </rPr>
      <t>1</t>
    </r>
  </si>
  <si>
    <t>[0-3,58]</t>
  </si>
  <si>
    <t>(3,58-4,34]</t>
  </si>
  <si>
    <t>(4,34-4,9]</t>
  </si>
  <si>
    <t>(4,9-5,41]</t>
  </si>
  <si>
    <t>(5,41-5,92]</t>
  </si>
  <si>
    <t>(5,92-6,49]</t>
  </si>
  <si>
    <t>(6,49-7,24]</t>
  </si>
  <si>
    <t>(7,24-10]</t>
  </si>
  <si>
    <r>
      <t>d</t>
    </r>
    <r>
      <rPr>
        <vertAlign val="subscript"/>
        <sz val="11"/>
        <color indexed="8"/>
        <rFont val="Calibri"/>
        <family val="2"/>
      </rPr>
      <t>i-1</t>
    </r>
    <r>
      <rPr>
        <sz val="11"/>
        <color theme="1"/>
        <rFont val="Calibri"/>
        <family val="2"/>
        <scheme val="minor"/>
      </rPr>
      <t>:</t>
    </r>
  </si>
  <si>
    <r>
      <t>d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:</t>
    </r>
  </si>
  <si>
    <r>
      <t>z</t>
    </r>
    <r>
      <rPr>
        <vertAlign val="subscript"/>
        <sz val="11"/>
        <color indexed="8"/>
        <rFont val="Calibri"/>
        <family val="2"/>
      </rPr>
      <t>0,1</t>
    </r>
  </si>
  <si>
    <r>
      <t>z</t>
    </r>
    <r>
      <rPr>
        <vertAlign val="subscript"/>
        <sz val="11"/>
        <color indexed="8"/>
        <rFont val="Calibri"/>
        <family val="2"/>
      </rPr>
      <t>0,3</t>
    </r>
  </si>
  <si>
    <r>
      <t>z</t>
    </r>
    <r>
      <rPr>
        <vertAlign val="subscript"/>
        <sz val="11"/>
        <color indexed="8"/>
        <rFont val="Calibri"/>
        <family val="2"/>
      </rPr>
      <t>0,5</t>
    </r>
  </si>
  <si>
    <r>
      <t>z</t>
    </r>
    <r>
      <rPr>
        <vertAlign val="subscript"/>
        <sz val="11"/>
        <color indexed="8"/>
        <rFont val="Calibri"/>
        <family val="2"/>
      </rPr>
      <t>0,7</t>
    </r>
  </si>
  <si>
    <r>
      <t>z</t>
    </r>
    <r>
      <rPr>
        <vertAlign val="subscript"/>
        <sz val="11"/>
        <color indexed="8"/>
        <rFont val="Calibri"/>
        <family val="2"/>
      </rPr>
      <t>0,8</t>
    </r>
    <r>
      <rPr>
        <sz val="11"/>
        <color indexed="8"/>
        <rFont val="Calibri"/>
        <family val="2"/>
      </rPr>
      <t/>
    </r>
  </si>
  <si>
    <r>
      <t>a+,25S</t>
    </r>
    <r>
      <rPr>
        <vertAlign val="subscript"/>
        <sz val="11"/>
        <color indexed="8"/>
        <rFont val="Calibri"/>
        <family val="2"/>
      </rPr>
      <t>1</t>
    </r>
  </si>
  <si>
    <t>[0-3,25]</t>
  </si>
  <si>
    <t>(3,25-3,91]</t>
  </si>
  <si>
    <t>(3,91-4,39]</t>
  </si>
  <si>
    <t>(4,39-4,79]</t>
  </si>
  <si>
    <t>(4,79-5,17]</t>
  </si>
  <si>
    <t>(5,17-5,55]</t>
  </si>
  <si>
    <t>(5,55-5,96]</t>
  </si>
  <si>
    <t>(5,96-6,44]</t>
  </si>
  <si>
    <t>(6,44-7,1]</t>
  </si>
  <si>
    <t>(7,1-10]</t>
  </si>
  <si>
    <r>
      <t>S</t>
    </r>
    <r>
      <rPr>
        <vertAlign val="superscript"/>
        <sz val="11"/>
        <color indexed="8"/>
        <rFont val="Calibri"/>
        <family val="2"/>
      </rPr>
      <t>2</t>
    </r>
  </si>
  <si>
    <r>
      <t>nS</t>
    </r>
    <r>
      <rPr>
        <vertAlign val="superscript"/>
        <sz val="11"/>
        <color indexed="8"/>
        <rFont val="Calibri"/>
        <family val="2"/>
      </rPr>
      <t>2</t>
    </r>
  </si>
  <si>
    <t>h</t>
  </si>
  <si>
    <r>
      <t>a</t>
    </r>
    <r>
      <rPr>
        <vertAlign val="subscript"/>
        <sz val="11"/>
        <color indexed="8"/>
        <rFont val="Calibri"/>
        <family val="2"/>
      </rPr>
      <t>j,n</t>
    </r>
  </si>
  <si>
    <t>j = 1..h</t>
  </si>
  <si>
    <t>n - j + 1</t>
  </si>
  <si>
    <r>
      <t>x</t>
    </r>
    <r>
      <rPr>
        <vertAlign val="subscript"/>
        <sz val="11"/>
        <color indexed="8"/>
        <rFont val="Calibri"/>
        <family val="2"/>
      </rPr>
      <t>n-j+1</t>
    </r>
    <r>
      <rPr>
        <sz val="11"/>
        <color theme="1"/>
        <rFont val="Calibri"/>
        <family val="2"/>
        <scheme val="minor"/>
      </rPr>
      <t xml:space="preserve"> - x</t>
    </r>
    <r>
      <rPr>
        <vertAlign val="subscript"/>
        <sz val="11"/>
        <color indexed="8"/>
        <rFont val="Calibri"/>
        <family val="2"/>
      </rPr>
      <t>j</t>
    </r>
  </si>
  <si>
    <r>
      <t>a</t>
    </r>
    <r>
      <rPr>
        <vertAlign val="subscript"/>
        <sz val="11"/>
        <color indexed="8"/>
        <rFont val="Calibri"/>
        <family val="2"/>
      </rPr>
      <t>j,n</t>
    </r>
    <r>
      <rPr>
        <sz val="11"/>
        <color theme="1"/>
        <rFont val="Calibri"/>
        <family val="2"/>
        <scheme val="minor"/>
      </rPr>
      <t xml:space="preserve"> (x</t>
    </r>
    <r>
      <rPr>
        <vertAlign val="subscript"/>
        <sz val="11"/>
        <color indexed="8"/>
        <rFont val="Calibri"/>
        <family val="2"/>
      </rPr>
      <t>n-j+1</t>
    </r>
    <r>
      <rPr>
        <sz val="11"/>
        <color theme="1"/>
        <rFont val="Calibri"/>
        <family val="2"/>
        <scheme val="minor"/>
      </rPr>
      <t xml:space="preserve"> - x</t>
    </r>
    <r>
      <rPr>
        <vertAlign val="subscript"/>
        <sz val="11"/>
        <color indexed="8"/>
        <rFont val="Calibri"/>
        <family val="2"/>
      </rPr>
      <t>j</t>
    </r>
    <r>
      <rPr>
        <sz val="11"/>
        <color theme="1"/>
        <rFont val="Calibri"/>
        <family val="2"/>
        <scheme val="minor"/>
      </rPr>
      <t>)</t>
    </r>
  </si>
  <si>
    <r>
      <t xml:space="preserve"> x</t>
    </r>
    <r>
      <rPr>
        <vertAlign val="subscript"/>
        <sz val="11"/>
        <color indexed="8"/>
        <rFont val="Calibri"/>
        <family val="2"/>
      </rPr>
      <t>j</t>
    </r>
  </si>
  <si>
    <r>
      <t>x</t>
    </r>
    <r>
      <rPr>
        <vertAlign val="subscript"/>
        <sz val="11"/>
        <color indexed="8"/>
        <rFont val="Calibri"/>
        <family val="2"/>
      </rPr>
      <t>n-j+1</t>
    </r>
    <r>
      <rPr>
        <sz val="11"/>
        <color theme="1"/>
        <rFont val="Calibri"/>
        <family val="2"/>
        <scheme val="minor"/>
      </rPr>
      <t xml:space="preserve"> </t>
    </r>
  </si>
  <si>
    <t>Resumen</t>
  </si>
  <si>
    <t>Estadísticas de la regresión</t>
  </si>
  <si>
    <t>Coeficiente de correlación múltiple</t>
  </si>
  <si>
    <t>Coeficiente de determinación R^2</t>
  </si>
  <si>
    <t>R^2  ajustado</t>
  </si>
  <si>
    <t>Error típico</t>
  </si>
  <si>
    <t>Observaciones</t>
  </si>
  <si>
    <t>ANÁLISIS DE VARIANZA</t>
  </si>
  <si>
    <t>Regresión</t>
  </si>
  <si>
    <t>Residuos</t>
  </si>
  <si>
    <t>Intercepción</t>
  </si>
  <si>
    <t>Grados de libertad</t>
  </si>
  <si>
    <t>Suma de cuadrados</t>
  </si>
  <si>
    <t>Promedio de los cuadrados</t>
  </si>
  <si>
    <t>F</t>
  </si>
  <si>
    <t>Valor crítico de F</t>
  </si>
  <si>
    <t>Coeficientes</t>
  </si>
  <si>
    <t>Estadístico t</t>
  </si>
  <si>
    <t>Probabilidad</t>
  </si>
  <si>
    <t>Inferior 95%</t>
  </si>
  <si>
    <t>Superior 95%</t>
  </si>
  <si>
    <t>Inferior 95,0%</t>
  </si>
  <si>
    <t>Superior 95,0%</t>
  </si>
  <si>
    <t>Variable X 1</t>
  </si>
  <si>
    <t>Análisis de los residuales</t>
  </si>
  <si>
    <t>Observación</t>
  </si>
  <si>
    <t>Pronóstico para Y</t>
  </si>
  <si>
    <t>Resultados de datos de probabilidad</t>
  </si>
  <si>
    <t>Percentil</t>
  </si>
  <si>
    <t>Y</t>
  </si>
  <si>
    <t>Residuos estándares</t>
  </si>
  <si>
    <t>Cuantil N(0;1)</t>
  </si>
  <si>
    <t>X0:</t>
  </si>
  <si>
    <t>M</t>
  </si>
  <si>
    <t>H</t>
  </si>
  <si>
    <t>Me =</t>
  </si>
  <si>
    <t>-</t>
  </si>
  <si>
    <t>+</t>
  </si>
  <si>
    <t>r</t>
  </si>
  <si>
    <t>α =</t>
  </si>
  <si>
    <t>α/2 =</t>
  </si>
  <si>
    <t>n1 =</t>
  </si>
  <si>
    <t>n2 =</t>
  </si>
  <si>
    <r>
      <t>r</t>
    </r>
    <r>
      <rPr>
        <vertAlign val="subscript"/>
        <sz val="11"/>
        <color theme="1"/>
        <rFont val="Calibri"/>
        <family val="2"/>
      </rPr>
      <t>α/2</t>
    </r>
    <r>
      <rPr>
        <sz val="11"/>
        <color theme="1"/>
        <rFont val="Calibri"/>
        <family val="2"/>
      </rPr>
      <t xml:space="preserve"> =</t>
    </r>
  </si>
  <si>
    <r>
      <t>r</t>
    </r>
    <r>
      <rPr>
        <vertAlign val="subscript"/>
        <sz val="11"/>
        <color theme="1"/>
        <rFont val="Calibri"/>
        <family val="2"/>
      </rPr>
      <t>1-α/2</t>
    </r>
    <r>
      <rPr>
        <sz val="11"/>
        <color theme="1"/>
        <rFont val="Calibri"/>
        <family val="2"/>
      </rPr>
      <t xml:space="preserve"> =</t>
    </r>
  </si>
  <si>
    <t>U</t>
  </si>
  <si>
    <t>[ 2</t>
  </si>
  <si>
    <t>9]</t>
  </si>
  <si>
    <r>
      <t>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 5 </t>
    </r>
    <r>
      <rPr>
        <sz val="11"/>
        <color theme="1"/>
        <rFont val="Calibri"/>
        <family val="2"/>
      </rPr>
      <t>Є RA →</t>
    </r>
  </si>
  <si>
    <t>X3:</t>
  </si>
  <si>
    <t>X1:</t>
  </si>
  <si>
    <t>&gt; 20</t>
  </si>
  <si>
    <t>Me</t>
  </si>
  <si>
    <t>n1</t>
  </si>
  <si>
    <t>n =</t>
  </si>
  <si>
    <t>n2</t>
  </si>
  <si>
    <r>
      <t>z</t>
    </r>
    <r>
      <rPr>
        <vertAlign val="subscript"/>
        <sz val="11"/>
        <color theme="1"/>
        <rFont val="Calibri"/>
        <family val="2"/>
      </rPr>
      <t>α/2</t>
    </r>
    <r>
      <rPr>
        <sz val="11"/>
        <color theme="1"/>
        <rFont val="Calibri"/>
        <family val="2"/>
      </rPr>
      <t xml:space="preserve"> =</t>
    </r>
  </si>
  <si>
    <r>
      <t>-z</t>
    </r>
    <r>
      <rPr>
        <vertAlign val="subscript"/>
        <sz val="11"/>
        <color theme="1"/>
        <rFont val="Calibri"/>
        <family val="2"/>
      </rPr>
      <t>α/2</t>
    </r>
    <r>
      <rPr>
        <sz val="11"/>
        <color theme="1"/>
        <rFont val="Calibri"/>
        <family val="2"/>
      </rPr>
      <t xml:space="preserve"> =</t>
    </r>
  </si>
  <si>
    <r>
      <t>-</t>
    </r>
    <r>
      <rPr>
        <sz val="11"/>
        <color theme="1"/>
        <rFont val="Calibri"/>
        <family val="2"/>
      </rPr>
      <t>∞</t>
    </r>
  </si>
  <si>
    <r>
      <t>+</t>
    </r>
    <r>
      <rPr>
        <sz val="11"/>
        <color theme="1"/>
        <rFont val="Calibri"/>
        <family val="2"/>
      </rPr>
      <t>∞</t>
    </r>
  </si>
  <si>
    <r>
      <t>r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=</t>
    </r>
  </si>
  <si>
    <t>d0</t>
  </si>
  <si>
    <t>A</t>
  </si>
  <si>
    <t>B</t>
  </si>
  <si>
    <t>C</t>
  </si>
  <si>
    <t>D</t>
  </si>
  <si>
    <t>E</t>
  </si>
  <si>
    <t>n.j</t>
  </si>
  <si>
    <t>ni.</t>
  </si>
  <si>
    <t>Eij:</t>
  </si>
  <si>
    <t>d:</t>
  </si>
  <si>
    <t>h =</t>
  </si>
  <si>
    <t>k =</t>
  </si>
  <si>
    <r>
      <t>d</t>
    </r>
    <r>
      <rPr>
        <vertAlign val="subscript"/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</rPr>
      <t xml:space="preserve"> =</t>
    </r>
  </si>
  <si>
    <t>(h-1)*(k-1)</t>
  </si>
  <si>
    <t>d0 =</t>
  </si>
  <si>
    <t>Є RA →</t>
  </si>
  <si>
    <t>p(d&gt;d0)=</t>
  </si>
  <si>
    <t>Є RC →</t>
  </si>
  <si>
    <t>GECO</t>
  </si>
  <si>
    <t>GADE</t>
  </si>
  <si>
    <t>ri1</t>
  </si>
  <si>
    <t>ri2</t>
  </si>
  <si>
    <t>R1</t>
  </si>
  <si>
    <t>R2</t>
  </si>
  <si>
    <t>U1</t>
  </si>
  <si>
    <t>U2</t>
  </si>
  <si>
    <t>μ</t>
  </si>
  <si>
    <t>σ2</t>
  </si>
  <si>
    <t>σ</t>
  </si>
  <si>
    <t>α/2</t>
  </si>
  <si>
    <t>zα/2</t>
  </si>
  <si>
    <t>-∞</t>
  </si>
  <si>
    <t>+∞</t>
  </si>
  <si>
    <t>H0</t>
  </si>
  <si>
    <t>H1</t>
  </si>
  <si>
    <t>R+</t>
  </si>
  <si>
    <t>R-</t>
  </si>
  <si>
    <t>Wα/2</t>
  </si>
  <si>
    <t>do</t>
  </si>
  <si>
    <t>W</t>
  </si>
  <si>
    <t>-zα/2</t>
  </si>
  <si>
    <t>2*P(W&lt;3,5)&lt;</t>
  </si>
  <si>
    <r>
      <t>2*P(Z</t>
    </r>
    <r>
      <rPr>
        <sz val="11"/>
        <color theme="1"/>
        <rFont val="Calibri"/>
        <family val="2"/>
      </rPr>
      <t>≤d0) =</t>
    </r>
  </si>
  <si>
    <r>
      <t>SW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</t>
    </r>
  </si>
  <si>
    <t>Exercise 1</t>
  </si>
  <si>
    <t>Arrivals per</t>
  </si>
  <si>
    <t>minute</t>
  </si>
  <si>
    <t>0 or 1</t>
  </si>
  <si>
    <t>5 or more</t>
  </si>
  <si>
    <t xml:space="preserve">Quotient of </t>
  </si>
  <si>
    <t>differences</t>
  </si>
  <si>
    <t>degrees of freedom</t>
  </si>
  <si>
    <t>CR</t>
  </si>
  <si>
    <t>AR</t>
  </si>
  <si>
    <t>Decision: Accept H0 (No reject H0)</t>
  </si>
  <si>
    <t>p-value</t>
  </si>
  <si>
    <t>Frequency distribution</t>
  </si>
  <si>
    <t>Answers</t>
  </si>
  <si>
    <t>Very bad</t>
  </si>
  <si>
    <t>Bad</t>
  </si>
  <si>
    <t>Fair</t>
  </si>
  <si>
    <t>Good</t>
  </si>
  <si>
    <t>Very good</t>
  </si>
  <si>
    <t>Exercise 4</t>
  </si>
  <si>
    <t>Exercise 3</t>
  </si>
  <si>
    <t>Discrete uniform distribution</t>
  </si>
  <si>
    <t>d.f.</t>
  </si>
  <si>
    <t xml:space="preserve">Decision: Reject H0; Accept H1 </t>
  </si>
  <si>
    <t>Not a Poisson</t>
  </si>
  <si>
    <t>Not a discrete uniform distribution</t>
  </si>
  <si>
    <t xml:space="preserve">Decision: Accept H0 </t>
  </si>
  <si>
    <t>Exercise 5</t>
  </si>
  <si>
    <t>The sample comes from a B(m;p)</t>
  </si>
  <si>
    <t>The sample DOES NOT come from a B(m;p)</t>
  </si>
  <si>
    <r>
      <t xml:space="preserve">p-value &gt; </t>
    </r>
    <r>
      <rPr>
        <sz val="11"/>
        <color indexed="8"/>
        <rFont val="Arial"/>
        <family val="2"/>
      </rPr>
      <t>α</t>
    </r>
  </si>
  <si>
    <t>Accept H0</t>
  </si>
  <si>
    <t>Number of policies</t>
  </si>
  <si>
    <t>sold</t>
  </si>
  <si>
    <t>0, 1 or 2</t>
  </si>
  <si>
    <t xml:space="preserve"> 7 - 10</t>
  </si>
  <si>
    <t>Quotient of</t>
  </si>
  <si>
    <t xml:space="preserve"> 6 - 10</t>
  </si>
  <si>
    <t>Exercise 5 merging categories 6 to 10</t>
  </si>
  <si>
    <t>Exercise 6</t>
  </si>
  <si>
    <t>Students</t>
  </si>
  <si>
    <t>Grades</t>
  </si>
  <si>
    <t>Xi: Ordered</t>
  </si>
  <si>
    <t>Class</t>
  </si>
  <si>
    <r>
      <t>The sample comes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</si>
  <si>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r>
      <t>The sample DOES NOT come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</si>
  <si>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t xml:space="preserve">Decision: Accept H0 (No Reject H0) </t>
  </si>
  <si>
    <t>Quantiles involved at the N(0;1):</t>
  </si>
  <si>
    <r>
      <t>Corresponding quantiles at the N(a;S</t>
    </r>
    <r>
      <rPr>
        <vertAlign val="sub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):</t>
    </r>
  </si>
  <si>
    <t>Exercise 7</t>
  </si>
  <si>
    <t>Eight classes</t>
  </si>
  <si>
    <t xml:space="preserve">Xi: Ordered </t>
  </si>
  <si>
    <t>Totals</t>
  </si>
  <si>
    <t>Exercise 9: Kolmogorov-Smirnov normality test with Lilliefors correction</t>
  </si>
  <si>
    <t>Students = r</t>
  </si>
  <si>
    <t>Exercise 10</t>
  </si>
  <si>
    <t>Sample</t>
  </si>
  <si>
    <t>Uniform</t>
  </si>
  <si>
    <t>The sample comes from a U[10-20]</t>
  </si>
  <si>
    <t>The sample DOES NOT come from a U[10-20]</t>
  </si>
  <si>
    <t>Exercise 11</t>
  </si>
  <si>
    <t xml:space="preserve">Decision: Reject H0 (Accept H1) </t>
  </si>
  <si>
    <t>Reject H0</t>
  </si>
  <si>
    <t>Exercise 12</t>
  </si>
  <si>
    <t>The sample comes from a U[2-6]</t>
  </si>
  <si>
    <t>The sample DOES NOT come from a U[2-6]</t>
  </si>
  <si>
    <t>Exercise 13: Kolmogorov-Smirnov normality test with Lilliefors correction</t>
  </si>
  <si>
    <t>Households = r</t>
  </si>
  <si>
    <t>Consumption</t>
  </si>
  <si>
    <t>Data</t>
  </si>
  <si>
    <t>Exercise 14</t>
  </si>
  <si>
    <t>Ten classes</t>
  </si>
  <si>
    <t>Households</t>
  </si>
  <si>
    <t>Exercise 15</t>
  </si>
  <si>
    <t>Generation of 10 random numbers coming from a N(0;1)</t>
  </si>
  <si>
    <t>Position:</t>
  </si>
  <si>
    <t>Ordered data:</t>
  </si>
  <si>
    <t>Statistics:</t>
  </si>
  <si>
    <t>Calculation:</t>
  </si>
  <si>
    <r>
      <t>Accept H</t>
    </r>
    <r>
      <rPr>
        <vertAlign val="subscript"/>
        <sz val="11"/>
        <color indexed="8"/>
        <rFont val="Calibri"/>
        <family val="2"/>
      </rPr>
      <t>0</t>
    </r>
  </si>
  <si>
    <t>Exercise 16</t>
  </si>
  <si>
    <r>
      <t>Reject H</t>
    </r>
    <r>
      <rPr>
        <vertAlign val="subscript"/>
        <sz val="11"/>
        <color indexed="8"/>
        <rFont val="Calibri"/>
        <family val="2"/>
      </rPr>
      <t>0</t>
    </r>
  </si>
  <si>
    <t>Generation of 24 random numbers coming from a N(15;4)</t>
  </si>
  <si>
    <t>H0: The sample is random</t>
  </si>
  <si>
    <t>H1: The sample is NOT random</t>
  </si>
  <si>
    <r>
      <t xml:space="preserve">d0 </t>
    </r>
    <r>
      <rPr>
        <sz val="11"/>
        <color theme="1"/>
        <rFont val="Calibri"/>
        <family val="2"/>
      </rPr>
      <t>Є CR →</t>
    </r>
  </si>
  <si>
    <t>Exercise 19</t>
  </si>
  <si>
    <t>Exercise 17</t>
  </si>
  <si>
    <t>Exercise 20</t>
  </si>
  <si>
    <t>Sequence:</t>
  </si>
  <si>
    <t>Exercise 21</t>
  </si>
  <si>
    <t>Sample:</t>
  </si>
  <si>
    <t>Women</t>
  </si>
  <si>
    <t>Men</t>
  </si>
  <si>
    <t>Total:</t>
  </si>
  <si>
    <t>H0: The distribution by gender of the board members does not depend on the firm</t>
  </si>
  <si>
    <t>H1: The distribution by gender of the board members depends on the firm</t>
  </si>
  <si>
    <t>Also:</t>
  </si>
  <si>
    <t>H0: The distribution by gender of the board members is homogeneous among the firms</t>
  </si>
  <si>
    <t>H1: The distribution by gender of the board members is NOT homogeneous among the firms</t>
  </si>
  <si>
    <t>p-value =</t>
  </si>
  <si>
    <t>No Reject H0</t>
  </si>
  <si>
    <r>
      <t xml:space="preserve">&gt; </t>
    </r>
    <r>
      <rPr>
        <sz val="11"/>
        <color theme="1"/>
        <rFont val="Calibri"/>
        <family val="2"/>
      </rPr>
      <t>α → No Reject H0</t>
    </r>
  </si>
  <si>
    <t>Exercise 22</t>
  </si>
  <si>
    <t>Pass</t>
  </si>
  <si>
    <t>Fails</t>
  </si>
  <si>
    <t>H0: The distribution of passes does not depend on the degree studied</t>
  </si>
  <si>
    <t>H1: The distribution of passes depends on the degree studied</t>
  </si>
  <si>
    <t>H0: The distribution of passes is homogeneous among the degrees</t>
  </si>
  <si>
    <t>H1: The distribution of passes is NOT homogeneous among the degrees</t>
  </si>
  <si>
    <r>
      <t xml:space="preserve">&lt; </t>
    </r>
    <r>
      <rPr>
        <sz val="11"/>
        <color theme="1"/>
        <rFont val="Calibri"/>
        <family val="2"/>
      </rPr>
      <t>α → Reject H0</t>
    </r>
  </si>
  <si>
    <t>Exercise 23</t>
  </si>
  <si>
    <t>Original samples</t>
  </si>
  <si>
    <t>Ordered samples</t>
  </si>
  <si>
    <t>Merged sample</t>
  </si>
  <si>
    <t>The medians are equal</t>
  </si>
  <si>
    <t>The medians are NOT equal</t>
  </si>
  <si>
    <t>Є RA → Accept H0</t>
  </si>
  <si>
    <r>
      <t xml:space="preserve">&gt; </t>
    </r>
    <r>
      <rPr>
        <sz val="11"/>
        <color theme="1"/>
        <rFont val="Calibri"/>
        <family val="2"/>
      </rPr>
      <t>α → Accept H0</t>
    </r>
  </si>
  <si>
    <t>There are not significant differences between the groups</t>
  </si>
  <si>
    <t>Exercise 25</t>
  </si>
  <si>
    <t>Opinions</t>
  </si>
  <si>
    <t>Customer</t>
  </si>
  <si>
    <t>Before</t>
  </si>
  <si>
    <t>After</t>
  </si>
  <si>
    <t>Difference</t>
  </si>
  <si>
    <t>Rank +</t>
  </si>
  <si>
    <t>Rank -</t>
  </si>
  <si>
    <t>Є RC → Reject H0</t>
  </si>
  <si>
    <t>&lt; α → Reject H0</t>
  </si>
  <si>
    <t>Exercise 26</t>
  </si>
  <si>
    <t>Exports</t>
  </si>
  <si>
    <t>Firm</t>
  </si>
  <si>
    <t>Exercise 2</t>
  </si>
  <si>
    <t>Decision: Reject H0</t>
  </si>
  <si>
    <t>H1: The sample is not random</t>
  </si>
  <si>
    <t>&lt; 2</t>
  </si>
  <si>
    <t>&gt; 9</t>
  </si>
  <si>
    <t>&gt; 10</t>
  </si>
  <si>
    <t>10]</t>
  </si>
  <si>
    <r>
      <t>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 4 </t>
    </r>
    <r>
      <rPr>
        <sz val="11"/>
        <color theme="1"/>
        <rFont val="Calibri"/>
        <family val="2"/>
      </rPr>
      <t>Є AR →</t>
    </r>
  </si>
  <si>
    <t>&lt; 7</t>
  </si>
  <si>
    <t>&gt; 17</t>
  </si>
  <si>
    <t>[ 7</t>
  </si>
  <si>
    <t>17]</t>
  </si>
  <si>
    <r>
      <t>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 13 </t>
    </r>
    <r>
      <rPr>
        <sz val="11"/>
        <color theme="1"/>
        <rFont val="Calibri"/>
        <family val="2"/>
      </rPr>
      <t>Є AR →</t>
    </r>
  </si>
  <si>
    <t>X2: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</si>
</sst>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00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Arial"/>
      <family val="2"/>
    </font>
    <font>
      <vertAlign val="superscript"/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2"/>
      <color indexed="8"/>
      <name val="Calibri"/>
      <family val="2"/>
    </font>
    <font>
      <vertAlign val="subscript"/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5" xfId="0" quotePrefix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Fill="1" applyBorder="1" applyAlignment="1">
      <alignment horizontal="center"/>
    </xf>
    <xf numFmtId="0" fontId="2" fillId="0" borderId="1" xfId="0" applyFont="1" applyBorder="1"/>
    <xf numFmtId="0" fontId="0" fillId="0" borderId="4" xfId="0" applyBorder="1"/>
    <xf numFmtId="0" fontId="0" fillId="0" borderId="6" xfId="0" applyBorder="1"/>
    <xf numFmtId="0" fontId="0" fillId="0" borderId="7" xfId="0" applyBorder="1" applyAlignment="1">
      <alignment horizontal="left"/>
    </xf>
    <xf numFmtId="0" fontId="5" fillId="0" borderId="0" xfId="0" applyFont="1" applyBorder="1"/>
    <xf numFmtId="164" fontId="0" fillId="0" borderId="0" xfId="0" applyNumberFormat="1" applyBorder="1" applyAlignment="1">
      <alignment horizontal="center"/>
    </xf>
    <xf numFmtId="0" fontId="0" fillId="0" borderId="0" xfId="0" quotePrefix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2" fillId="0" borderId="4" xfId="0" applyFont="1" applyBorder="1"/>
    <xf numFmtId="0" fontId="13" fillId="0" borderId="2" xfId="0" applyFont="1" applyBorder="1"/>
    <xf numFmtId="0" fontId="13" fillId="0" borderId="0" xfId="0" applyFont="1" applyBorder="1"/>
    <xf numFmtId="0" fontId="14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0" borderId="6" xfId="0" quotePrefix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0" fillId="0" borderId="11" xfId="0" applyBorder="1"/>
    <xf numFmtId="0" fontId="14" fillId="0" borderId="0" xfId="0" applyFont="1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12" fillId="0" borderId="1" xfId="0" applyFont="1" applyBorder="1"/>
    <xf numFmtId="2" fontId="0" fillId="0" borderId="1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/>
    <xf numFmtId="0" fontId="0" fillId="0" borderId="0" xfId="0" applyFill="1" applyBorder="1"/>
    <xf numFmtId="165" fontId="0" fillId="0" borderId="0" xfId="0" applyNumberFormat="1" applyFill="1" applyBorder="1" applyAlignment="1">
      <alignment horizontal="center"/>
    </xf>
    <xf numFmtId="0" fontId="0" fillId="0" borderId="10" xfId="0" applyBorder="1"/>
    <xf numFmtId="164" fontId="0" fillId="0" borderId="10" xfId="0" applyNumberFormat="1" applyBorder="1" applyAlignment="1">
      <alignment horizontal="center"/>
    </xf>
    <xf numFmtId="165" fontId="0" fillId="0" borderId="10" xfId="0" applyNumberFormat="1" applyBorder="1"/>
    <xf numFmtId="0" fontId="0" fillId="0" borderId="3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1" xfId="0" quotePrefix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5" fontId="0" fillId="0" borderId="2" xfId="0" applyNumberFormat="1" applyBorder="1"/>
    <xf numFmtId="1" fontId="0" fillId="0" borderId="0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2" fontId="0" fillId="0" borderId="5" xfId="0" applyNumberFormat="1" applyBorder="1"/>
    <xf numFmtId="2" fontId="0" fillId="0" borderId="4" xfId="0" applyNumberFormat="1" applyBorder="1"/>
    <xf numFmtId="2" fontId="13" fillId="0" borderId="0" xfId="0" applyNumberFormat="1" applyFont="1" applyBorder="1" applyAlignment="1">
      <alignment horizontal="center"/>
    </xf>
    <xf numFmtId="2" fontId="0" fillId="0" borderId="7" xfId="0" applyNumberFormat="1" applyBorder="1"/>
    <xf numFmtId="2" fontId="13" fillId="0" borderId="10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/>
    <xf numFmtId="0" fontId="0" fillId="0" borderId="12" xfId="0" applyFill="1" applyBorder="1" applyAlignment="1"/>
    <xf numFmtId="0" fontId="15" fillId="0" borderId="13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Continuous"/>
    </xf>
    <xf numFmtId="0" fontId="15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quotePrefix="1" applyFont="1" applyBorder="1"/>
    <xf numFmtId="0" fontId="18" fillId="0" borderId="0" xfId="0" applyFont="1"/>
    <xf numFmtId="167" fontId="0" fillId="0" borderId="0" xfId="0" applyNumberFormat="1" applyBorder="1"/>
    <xf numFmtId="0" fontId="0" fillId="0" borderId="0" xfId="0" quotePrefix="1" applyBorder="1" applyAlignment="1">
      <alignment horizontal="right"/>
    </xf>
    <xf numFmtId="0" fontId="0" fillId="0" borderId="0" xfId="0" applyBorder="1" applyAlignment="1">
      <alignment horizontal="center"/>
    </xf>
    <xf numFmtId="0" fontId="18" fillId="0" borderId="4" xfId="0" applyFont="1" applyBorder="1"/>
    <xf numFmtId="0" fontId="19" fillId="0" borderId="0" xfId="0" applyFont="1" applyBorder="1" applyAlignment="1">
      <alignment horizontal="justify" vertical="center"/>
    </xf>
    <xf numFmtId="0" fontId="19" fillId="0" borderId="0" xfId="0" applyFont="1" applyBorder="1"/>
    <xf numFmtId="0" fontId="0" fillId="0" borderId="0" xfId="0" quotePrefix="1" applyBorder="1"/>
    <xf numFmtId="166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Q-Q graphic of the sample</a:t>
            </a:r>
            <a:r>
              <a:rPr lang="en-US" sz="1400" baseline="0"/>
              <a:t> over N(0:1)</a:t>
            </a:r>
            <a:r>
              <a:rPr lang="en-US" sz="1400"/>
              <a:t>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Gráfico Q-Q 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Version_2!$GS$75:$GS$98</c:f>
              <c:numCache>
                <c:formatCode>General</c:formatCode>
                <c:ptCount val="24"/>
                <c:pt idx="0">
                  <c:v>-2.0368341317013883</c:v>
                </c:pt>
                <c:pt idx="1">
                  <c:v>-1.5341205443525459</c:v>
                </c:pt>
                <c:pt idx="2">
                  <c:v>-1.258161561063097</c:v>
                </c:pt>
                <c:pt idx="3">
                  <c:v>-1.054472451770053</c:v>
                </c:pt>
                <c:pt idx="4">
                  <c:v>-0.88714655901887607</c:v>
                </c:pt>
                <c:pt idx="5">
                  <c:v>-0.74159404386151595</c:v>
                </c:pt>
                <c:pt idx="6">
                  <c:v>-0.6102946101863328</c:v>
                </c:pt>
                <c:pt idx="7">
                  <c:v>-0.48877641111466941</c:v>
                </c:pt>
                <c:pt idx="8">
                  <c:v>-0.37409541019772341</c:v>
                </c:pt>
                <c:pt idx="9">
                  <c:v>-0.26414697682592353</c:v>
                </c:pt>
                <c:pt idx="10">
                  <c:v>-0.15731068461017056</c:v>
                </c:pt>
                <c:pt idx="11">
                  <c:v>-5.2245180375940205E-2</c:v>
                </c:pt>
                <c:pt idx="12">
                  <c:v>5.2245180375940489E-2</c:v>
                </c:pt>
                <c:pt idx="13">
                  <c:v>0.15731068461017098</c:v>
                </c:pt>
                <c:pt idx="14">
                  <c:v>0.26414697682592375</c:v>
                </c:pt>
                <c:pt idx="15">
                  <c:v>0.37409541019772397</c:v>
                </c:pt>
                <c:pt idx="16">
                  <c:v>0.48877641111466941</c:v>
                </c:pt>
                <c:pt idx="17">
                  <c:v>0.61029461018633291</c:v>
                </c:pt>
                <c:pt idx="18">
                  <c:v>0.74159404386151606</c:v>
                </c:pt>
                <c:pt idx="19">
                  <c:v>0.88714655901887607</c:v>
                </c:pt>
                <c:pt idx="20">
                  <c:v>1.0544724517700534</c:v>
                </c:pt>
                <c:pt idx="21">
                  <c:v>1.2581615610630967</c:v>
                </c:pt>
                <c:pt idx="22">
                  <c:v>1.5341205443525465</c:v>
                </c:pt>
                <c:pt idx="23">
                  <c:v>2.0368341317013896</c:v>
                </c:pt>
              </c:numCache>
            </c:numRef>
          </c:xVal>
          <c:yVal>
            <c:numRef>
              <c:f>Version_2!$GR$75:$GR$98</c:f>
              <c:numCache>
                <c:formatCode>General</c:formatCode>
                <c:ptCount val="24"/>
                <c:pt idx="0">
                  <c:v>6.5766238700598478</c:v>
                </c:pt>
                <c:pt idx="1">
                  <c:v>10.263215168961324</c:v>
                </c:pt>
                <c:pt idx="2">
                  <c:v>11.055785231874324</c:v>
                </c:pt>
                <c:pt idx="3">
                  <c:v>11.939704942633398</c:v>
                </c:pt>
                <c:pt idx="4">
                  <c:v>12.077716216153931</c:v>
                </c:pt>
                <c:pt idx="5">
                  <c:v>13.726207195431925</c:v>
                </c:pt>
                <c:pt idx="6">
                  <c:v>13.803873495489825</c:v>
                </c:pt>
                <c:pt idx="7">
                  <c:v>14.104425114637706</c:v>
                </c:pt>
                <c:pt idx="8">
                  <c:v>14.341753209591843</c:v>
                </c:pt>
                <c:pt idx="9">
                  <c:v>14.357260094257072</c:v>
                </c:pt>
                <c:pt idx="10">
                  <c:v>14.482502062164713</c:v>
                </c:pt>
                <c:pt idx="11">
                  <c:v>15.118898242362775</c:v>
                </c:pt>
                <c:pt idx="12">
                  <c:v>15.303380147670396</c:v>
                </c:pt>
                <c:pt idx="13">
                  <c:v>15.650802576274145</c:v>
                </c:pt>
                <c:pt idx="14">
                  <c:v>16.729404175421223</c:v>
                </c:pt>
                <c:pt idx="15">
                  <c:v>17.003762347158045</c:v>
                </c:pt>
                <c:pt idx="16">
                  <c:v>18.115528670605272</c:v>
                </c:pt>
                <c:pt idx="17">
                  <c:v>18.170534910168499</c:v>
                </c:pt>
                <c:pt idx="18">
                  <c:v>18.331469997647218</c:v>
                </c:pt>
                <c:pt idx="19">
                  <c:v>18.694176484714262</c:v>
                </c:pt>
                <c:pt idx="20">
                  <c:v>19.614994395524263</c:v>
                </c:pt>
                <c:pt idx="21">
                  <c:v>20.071524356026202</c:v>
                </c:pt>
                <c:pt idx="22">
                  <c:v>21.459704309236258</c:v>
                </c:pt>
                <c:pt idx="23">
                  <c:v>21.562131602549925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67-4ECB-ADD2-8154DF096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028024"/>
        <c:axId val="438029200"/>
      </c:scatterChart>
      <c:valAx>
        <c:axId val="438028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38029200"/>
        <c:crosses val="autoZero"/>
        <c:crossBetween val="midCat"/>
      </c:valAx>
      <c:valAx>
        <c:axId val="438029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8028024"/>
        <c:crossesAt val="-3"/>
        <c:crossBetween val="midCat"/>
      </c:valAx>
      <c:spPr>
        <a:ln w="635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198</xdr:col>
      <xdr:colOff>9525</xdr:colOff>
      <xdr:row>11</xdr:row>
      <xdr:rowOff>9525</xdr:rowOff>
    </xdr:from>
    <xdr:to>
      <xdr:col>202</xdr:col>
      <xdr:colOff>257175</xdr:colOff>
      <xdr:row>26</xdr:row>
      <xdr:rowOff>76200</xdr:rowOff>
    </xdr:to>
    <xdr:graphicFrame macro="">
      <xdr:nvGraphicFramePr>
        <xdr:cNvPr id="2339" name="13 Gráfico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236</xdr:col>
      <xdr:colOff>146050</xdr:colOff>
      <xdr:row>27</xdr:row>
      <xdr:rowOff>95250</xdr:rowOff>
    </xdr:from>
    <xdr:to>
      <xdr:col>241</xdr:col>
      <xdr:colOff>711200</xdr:colOff>
      <xdr:row>31</xdr:row>
      <xdr:rowOff>76200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33000" y="5422900"/>
          <a:ext cx="43751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246</xdr:col>
      <xdr:colOff>6350</xdr:colOff>
      <xdr:row>27</xdr:row>
      <xdr:rowOff>146050</xdr:rowOff>
    </xdr:from>
    <xdr:to>
      <xdr:col>251</xdr:col>
      <xdr:colOff>571500</xdr:colOff>
      <xdr:row>31</xdr:row>
      <xdr:rowOff>127000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613300" y="5473700"/>
          <a:ext cx="43751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208</xdr:col>
      <xdr:colOff>260350</xdr:colOff>
      <xdr:row>35</xdr:row>
      <xdr:rowOff>19050</xdr:rowOff>
    </xdr:from>
    <xdr:to>
      <xdr:col>212</xdr:col>
      <xdr:colOff>469900</xdr:colOff>
      <xdr:row>40</xdr:row>
      <xdr:rowOff>31750</xdr:rowOff>
    </xdr:to>
    <xdr:pic>
      <xdr:nvPicPr>
        <xdr:cNvPr id="14" name="8 Imagen">
          <a:extLst>
            <a:ext uri="{FF2B5EF4-FFF2-40B4-BE49-F238E27FC236}">
              <a16:creationId xmlns:a16="http://schemas.microsoft.com/office/drawing/2014/main" id="{1A6BEDF8-E260-48D1-B0EC-2209FC070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911300" y="6845300"/>
          <a:ext cx="325755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223</xdr:col>
      <xdr:colOff>0</xdr:colOff>
      <xdr:row>69</xdr:row>
      <xdr:rowOff>0</xdr:rowOff>
    </xdr:from>
    <xdr:to>
      <xdr:col>227</xdr:col>
      <xdr:colOff>209550</xdr:colOff>
      <xdr:row>73</xdr:row>
      <xdr:rowOff>165100</xdr:rowOff>
    </xdr:to>
    <xdr:pic>
      <xdr:nvPicPr>
        <xdr:cNvPr id="16" name="8 Imagen">
          <a:extLst>
            <a:ext uri="{FF2B5EF4-FFF2-40B4-BE49-F238E27FC236}">
              <a16:creationId xmlns:a16="http://schemas.microsoft.com/office/drawing/2014/main" id="{98CBCC90-C5EC-404B-A223-FFA4126FB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080950" y="13785850"/>
          <a:ext cx="325755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V98"/>
  <sheetViews>
    <sheetView tabSelected="1" topLeftCell="HL1" workbookViewId="0">
      <selection activeCell="HS3" sqref="HS3"/>
    </sheetView>
  </sheetViews>
  <sheetFormatPr baseColWidth="10" defaultRowHeight="14.5" x14ac:dyDescent="0.35"/>
  <cols>
    <col min="2" max="6" width="11.453125" style="1" customWidth="1"/>
    <col min="7" max="7" width="13.81640625" style="1" customWidth="1"/>
    <col min="9" max="9" width="16.54296875" customWidth="1"/>
    <col min="11" max="11" width="11.81640625" bestFit="1" customWidth="1"/>
    <col min="29" max="29" width="13.7265625" customWidth="1"/>
    <col min="42" max="42" width="13" customWidth="1"/>
    <col min="53" max="53" width="11.54296875" style="1" customWidth="1"/>
    <col min="57" max="57" width="13.81640625" customWidth="1"/>
    <col min="85" max="85" width="13.54296875" customWidth="1"/>
    <col min="86" max="86" width="12" customWidth="1"/>
    <col min="127" max="127" width="11.54296875" bestFit="1" customWidth="1"/>
    <col min="138" max="138" width="13.08984375" customWidth="1"/>
    <col min="139" max="139" width="12" bestFit="1" customWidth="1"/>
    <col min="140" max="140" width="12" customWidth="1"/>
    <col min="144" max="144" width="11.81640625" customWidth="1"/>
    <col min="153" max="153" width="11.81640625" customWidth="1"/>
    <col min="160" max="160" width="13.26953125" customWidth="1"/>
    <col min="173" max="173" width="11.453125" customWidth="1"/>
    <col min="194" max="194" width="15.1796875" customWidth="1"/>
    <col min="201" max="201" width="11.7265625" customWidth="1"/>
    <col min="206" max="206" width="11.453125" customWidth="1"/>
    <col min="258" max="258" width="11.1796875" bestFit="1" customWidth="1"/>
    <col min="275" max="276" width="11.1796875" bestFit="1" customWidth="1"/>
  </cols>
  <sheetData>
    <row r="2" spans="2:282" x14ac:dyDescent="0.35">
      <c r="B2" s="2" t="s">
        <v>223</v>
      </c>
      <c r="C2" s="3"/>
      <c r="D2" s="3"/>
      <c r="E2" s="3"/>
      <c r="F2" s="3"/>
      <c r="G2" s="3"/>
      <c r="H2" s="4"/>
      <c r="I2" s="4"/>
      <c r="J2" s="4"/>
      <c r="K2" s="5"/>
      <c r="M2" s="2" t="s">
        <v>356</v>
      </c>
      <c r="N2" s="3"/>
      <c r="O2" s="3"/>
      <c r="P2" s="3"/>
      <c r="Q2" s="3"/>
      <c r="R2" s="3"/>
      <c r="S2" s="4"/>
      <c r="T2" s="4"/>
      <c r="U2" s="4"/>
      <c r="V2" s="5"/>
      <c r="X2" s="2" t="s">
        <v>243</v>
      </c>
      <c r="Y2" s="3"/>
      <c r="Z2" s="3"/>
      <c r="AA2" s="3"/>
      <c r="AB2" s="3"/>
      <c r="AC2" s="3" t="s">
        <v>228</v>
      </c>
      <c r="AD2" s="3"/>
      <c r="AE2" s="3"/>
      <c r="AF2" s="3"/>
      <c r="AG2" s="3"/>
      <c r="AH2" s="4"/>
      <c r="AI2" s="5"/>
      <c r="AK2" s="20" t="s">
        <v>250</v>
      </c>
      <c r="AL2" s="4"/>
      <c r="AM2" s="4"/>
      <c r="AN2" s="4"/>
      <c r="AO2" s="4"/>
      <c r="AP2" s="4"/>
      <c r="AQ2" s="4"/>
      <c r="AR2" s="4"/>
      <c r="AS2" s="4"/>
      <c r="AT2" s="4"/>
      <c r="AU2" s="5"/>
      <c r="AW2" s="20" t="s">
        <v>262</v>
      </c>
      <c r="AX2" s="4"/>
      <c r="AY2" s="4"/>
      <c r="AZ2" s="4"/>
      <c r="BA2" s="3"/>
      <c r="BB2" s="4"/>
      <c r="BC2" s="4"/>
      <c r="BD2" s="4"/>
      <c r="BE2" s="4"/>
      <c r="BF2" s="4"/>
      <c r="BG2" s="4"/>
      <c r="BH2" s="4"/>
      <c r="BI2" s="4"/>
      <c r="BJ2" s="5"/>
      <c r="BK2" s="8"/>
      <c r="BL2" s="20" t="s">
        <v>272</v>
      </c>
      <c r="BM2" s="4" t="s">
        <v>273</v>
      </c>
      <c r="BN2" s="4"/>
      <c r="BO2" s="4"/>
      <c r="BP2" s="3"/>
      <c r="BQ2" s="4"/>
      <c r="BR2" s="4"/>
      <c r="BS2" s="4"/>
      <c r="BT2" s="4"/>
      <c r="BU2" s="4"/>
      <c r="BV2" s="4"/>
      <c r="BW2" s="4"/>
      <c r="BX2" s="4"/>
      <c r="BY2" s="5"/>
      <c r="BZ2" s="8"/>
      <c r="CA2" s="20" t="s">
        <v>276</v>
      </c>
      <c r="CB2" s="4"/>
      <c r="CC2" s="4"/>
      <c r="CD2" s="4"/>
      <c r="CE2" s="4"/>
      <c r="CF2" s="4"/>
      <c r="CG2" s="4"/>
      <c r="CH2" s="4"/>
      <c r="CI2" s="4"/>
      <c r="CJ2" s="30" t="s">
        <v>47</v>
      </c>
      <c r="CK2" s="4">
        <f>+AZ38</f>
        <v>5.4115968415068592</v>
      </c>
      <c r="CL2" s="4"/>
      <c r="CM2" s="5"/>
      <c r="CO2" s="46" t="s">
        <v>278</v>
      </c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5"/>
      <c r="DD2" s="46" t="s">
        <v>283</v>
      </c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5"/>
      <c r="DS2" s="46" t="s">
        <v>286</v>
      </c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5"/>
      <c r="EH2" s="20" t="s">
        <v>289</v>
      </c>
      <c r="EI2" s="4"/>
      <c r="EJ2" s="4">
        <v>0</v>
      </c>
      <c r="EK2" s="4"/>
      <c r="EL2" s="4"/>
      <c r="EM2" s="4"/>
      <c r="EN2" s="4"/>
      <c r="EO2" s="4"/>
      <c r="EP2" s="4"/>
      <c r="EQ2" s="30" t="s">
        <v>47</v>
      </c>
      <c r="ER2" s="60">
        <f>+AVERAGE(EI6:EI55)</f>
        <v>5.1744606720421871</v>
      </c>
      <c r="ES2" s="4"/>
      <c r="ET2" s="5"/>
      <c r="EV2" s="20" t="s">
        <v>293</v>
      </c>
      <c r="EW2" s="4" t="s">
        <v>294</v>
      </c>
      <c r="EX2" s="4"/>
      <c r="EY2" s="4"/>
      <c r="EZ2" s="3"/>
      <c r="FA2" s="4"/>
      <c r="FB2" s="4"/>
      <c r="FC2" s="4"/>
      <c r="FD2" s="4"/>
      <c r="FE2" s="4"/>
      <c r="FF2" s="4"/>
      <c r="FG2" s="4"/>
      <c r="FH2" s="4"/>
      <c r="FI2" s="5"/>
      <c r="FK2" s="20" t="s">
        <v>296</v>
      </c>
      <c r="FL2" s="4"/>
      <c r="FM2" s="4"/>
      <c r="FN2" s="4"/>
      <c r="FO2" s="4"/>
      <c r="FP2" s="4"/>
      <c r="FQ2" s="4"/>
      <c r="FR2" s="4"/>
      <c r="FS2" s="4"/>
      <c r="FT2" s="4"/>
      <c r="FU2" s="4"/>
      <c r="FV2" s="5"/>
      <c r="FX2" s="20" t="s">
        <v>303</v>
      </c>
      <c r="FY2" s="4"/>
      <c r="FZ2" s="4"/>
      <c r="GA2" s="4"/>
      <c r="GB2" s="4"/>
      <c r="GC2" s="4"/>
      <c r="GD2" s="4"/>
      <c r="GE2" s="4"/>
      <c r="GF2" s="4"/>
      <c r="GG2" s="4"/>
      <c r="GH2" s="4"/>
      <c r="GI2" s="5"/>
      <c r="GK2" s="20" t="s">
        <v>310</v>
      </c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5"/>
      <c r="GZ2" s="20" t="s">
        <v>309</v>
      </c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5"/>
      <c r="HN2" s="49" t="s">
        <v>311</v>
      </c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5"/>
      <c r="IA2" s="8"/>
      <c r="IB2" s="20" t="s">
        <v>313</v>
      </c>
      <c r="IC2" s="4"/>
      <c r="ID2" s="4"/>
      <c r="IE2" s="4"/>
      <c r="IF2" s="4"/>
      <c r="IG2" s="4"/>
      <c r="IH2" s="4"/>
      <c r="II2" s="4"/>
      <c r="IJ2" s="5"/>
      <c r="IL2" s="20" t="s">
        <v>326</v>
      </c>
      <c r="IM2" s="4"/>
      <c r="IN2" s="4"/>
      <c r="IO2" s="4"/>
      <c r="IP2" s="4"/>
      <c r="IQ2" s="4"/>
      <c r="IR2" s="4"/>
      <c r="IS2" s="4"/>
      <c r="IT2" s="5"/>
      <c r="IV2" s="20" t="s">
        <v>334</v>
      </c>
      <c r="IW2" s="4"/>
      <c r="IX2" s="4"/>
      <c r="IY2" s="4"/>
      <c r="IZ2" s="4"/>
      <c r="JA2" s="4"/>
      <c r="JB2" s="4"/>
      <c r="JC2" s="4"/>
      <c r="JD2" s="5"/>
      <c r="JF2" s="20" t="s">
        <v>343</v>
      </c>
      <c r="JG2" s="4"/>
      <c r="JH2" s="4"/>
      <c r="JI2" s="4"/>
      <c r="JJ2" s="4"/>
      <c r="JK2" s="4"/>
      <c r="JL2" s="4"/>
      <c r="JM2" s="5"/>
      <c r="JO2" s="20" t="s">
        <v>353</v>
      </c>
      <c r="JP2" s="4"/>
      <c r="JQ2" s="4"/>
      <c r="JR2" s="4"/>
      <c r="JS2" s="4"/>
      <c r="JT2" s="4"/>
      <c r="JU2" s="4"/>
      <c r="JV2" s="5"/>
    </row>
    <row r="3" spans="2:282" x14ac:dyDescent="0.35">
      <c r="B3" s="6"/>
      <c r="C3" s="7" t="s">
        <v>224</v>
      </c>
      <c r="D3" s="7"/>
      <c r="E3" s="7"/>
      <c r="F3" s="7"/>
      <c r="G3" s="7" t="s">
        <v>228</v>
      </c>
      <c r="H3" s="8"/>
      <c r="I3" s="7" t="s">
        <v>14</v>
      </c>
      <c r="J3" s="7" t="s">
        <v>13</v>
      </c>
      <c r="K3" s="9"/>
      <c r="M3" s="6"/>
      <c r="N3" s="92" t="s">
        <v>224</v>
      </c>
      <c r="O3" s="92"/>
      <c r="P3" s="92"/>
      <c r="Q3" s="92"/>
      <c r="R3" s="92" t="s">
        <v>228</v>
      </c>
      <c r="S3" s="8"/>
      <c r="T3" s="92" t="s">
        <v>14</v>
      </c>
      <c r="U3" s="92" t="s">
        <v>13</v>
      </c>
      <c r="V3" s="9"/>
      <c r="X3" s="21"/>
      <c r="Y3" s="7" t="s">
        <v>236</v>
      </c>
      <c r="Z3" s="7" t="s">
        <v>0</v>
      </c>
      <c r="AA3" s="7" t="s">
        <v>1</v>
      </c>
      <c r="AB3" s="7" t="s">
        <v>2</v>
      </c>
      <c r="AC3" s="91" t="s">
        <v>229</v>
      </c>
      <c r="AD3" s="7"/>
      <c r="AE3" s="7" t="s">
        <v>14</v>
      </c>
      <c r="AF3" s="14" t="s">
        <v>244</v>
      </c>
      <c r="AG3" s="7"/>
      <c r="AH3" s="8"/>
      <c r="AI3" s="9"/>
      <c r="AK3" s="21"/>
      <c r="AL3" s="24" t="s">
        <v>18</v>
      </c>
      <c r="AM3" s="7" t="s">
        <v>19</v>
      </c>
      <c r="AN3" s="8"/>
      <c r="AO3" s="8"/>
      <c r="AP3" s="8"/>
      <c r="AQ3" s="8"/>
      <c r="AR3" s="7" t="s">
        <v>14</v>
      </c>
      <c r="AS3" s="14" t="s">
        <v>251</v>
      </c>
      <c r="AT3" s="7"/>
      <c r="AU3" s="9"/>
      <c r="AW3" s="21"/>
      <c r="AX3" s="8"/>
      <c r="AY3" s="8" t="s">
        <v>265</v>
      </c>
      <c r="AZ3" s="8"/>
      <c r="BA3" s="7"/>
      <c r="BB3" s="8"/>
      <c r="BC3" s="8"/>
      <c r="BD3" s="8"/>
      <c r="BE3" s="7" t="s">
        <v>259</v>
      </c>
      <c r="BF3" s="8"/>
      <c r="BG3" s="7" t="s">
        <v>14</v>
      </c>
      <c r="BH3" s="14" t="s">
        <v>267</v>
      </c>
      <c r="BI3" s="7"/>
      <c r="BJ3" s="9"/>
      <c r="BK3" s="8"/>
      <c r="BL3" s="21"/>
      <c r="BM3" s="8"/>
      <c r="BN3" s="8" t="s">
        <v>274</v>
      </c>
      <c r="BO3" s="8"/>
      <c r="BP3" s="7"/>
      <c r="BQ3" s="8"/>
      <c r="BR3" s="8"/>
      <c r="BS3" s="8"/>
      <c r="BT3" s="7" t="s">
        <v>228</v>
      </c>
      <c r="BU3" s="8"/>
      <c r="BV3" s="7" t="s">
        <v>14</v>
      </c>
      <c r="BW3" s="14" t="s">
        <v>267</v>
      </c>
      <c r="BX3" s="7"/>
      <c r="BY3" s="9"/>
      <c r="BZ3" s="8"/>
      <c r="CA3" s="29"/>
      <c r="CB3" s="8"/>
      <c r="CC3" s="8"/>
      <c r="CD3" s="8"/>
      <c r="CE3" s="8"/>
      <c r="CF3" s="31"/>
      <c r="CG3" s="8"/>
      <c r="CH3" s="8"/>
      <c r="CI3" s="8"/>
      <c r="CJ3" s="31" t="s">
        <v>48</v>
      </c>
      <c r="CK3" s="8">
        <f>+AZ43</f>
        <v>1.5917540386080615</v>
      </c>
      <c r="CL3" s="8"/>
      <c r="CM3" s="9"/>
      <c r="CO3" s="21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9"/>
      <c r="DD3" s="21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9"/>
      <c r="DS3" s="21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9"/>
      <c r="EH3" s="29"/>
      <c r="EI3" s="8"/>
      <c r="EJ3" s="8"/>
      <c r="EK3" s="8"/>
      <c r="EL3" s="8"/>
      <c r="EM3" s="31"/>
      <c r="EN3" s="8"/>
      <c r="EO3" s="8"/>
      <c r="EP3" s="8"/>
      <c r="EQ3" s="31" t="s">
        <v>48</v>
      </c>
      <c r="ER3" s="28">
        <f>+STDEV(EI6:EI55)</f>
        <v>1.5012277208478977</v>
      </c>
      <c r="ES3" s="8"/>
      <c r="ET3" s="9"/>
      <c r="EV3" s="21"/>
      <c r="EW3" s="8"/>
      <c r="EX3" s="8" t="s">
        <v>265</v>
      </c>
      <c r="EY3" s="8"/>
      <c r="EZ3" s="7"/>
      <c r="FA3" s="8"/>
      <c r="FB3" s="8"/>
      <c r="FC3" s="8"/>
      <c r="FD3" s="7" t="s">
        <v>228</v>
      </c>
      <c r="FE3" s="8"/>
      <c r="FF3" s="7" t="s">
        <v>14</v>
      </c>
      <c r="FG3" s="14" t="s">
        <v>267</v>
      </c>
      <c r="FH3" s="7"/>
      <c r="FI3" s="9"/>
      <c r="FK3" s="21"/>
      <c r="FL3" s="8"/>
      <c r="FM3" s="8"/>
      <c r="FN3" s="8"/>
      <c r="FO3" s="8"/>
      <c r="FP3" s="8"/>
      <c r="FQ3" s="8"/>
      <c r="FR3" s="64"/>
      <c r="FS3" s="64"/>
      <c r="FT3" s="64"/>
      <c r="FU3" s="64"/>
      <c r="FV3" s="65"/>
      <c r="FW3" s="63"/>
      <c r="FX3" s="21"/>
      <c r="FY3" s="8"/>
      <c r="FZ3" s="8"/>
      <c r="GA3" s="8"/>
      <c r="GB3" s="8"/>
      <c r="GC3" s="8"/>
      <c r="GD3" s="8"/>
      <c r="GE3" s="64"/>
      <c r="GF3" s="64"/>
      <c r="GG3" s="64"/>
      <c r="GH3" s="64"/>
      <c r="GI3" s="65"/>
      <c r="GK3" s="21"/>
      <c r="GL3" s="8"/>
      <c r="GM3" s="8"/>
      <c r="GN3" s="8"/>
      <c r="GO3" s="8"/>
      <c r="GP3" s="8"/>
      <c r="GQ3" s="8"/>
      <c r="GR3" s="64"/>
      <c r="GS3" s="64"/>
      <c r="GT3" s="64"/>
      <c r="GU3" s="64"/>
      <c r="GV3" s="64"/>
      <c r="GW3" s="8"/>
      <c r="GX3" s="9"/>
      <c r="GZ3" s="21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9"/>
      <c r="HN3" s="21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9"/>
      <c r="IA3" s="8"/>
      <c r="IB3" s="21"/>
      <c r="IC3" s="8"/>
      <c r="ID3" s="8"/>
      <c r="IE3" s="8"/>
      <c r="IF3" s="8"/>
      <c r="IG3" s="8"/>
      <c r="IH3" s="8"/>
      <c r="II3" s="8"/>
      <c r="IJ3" s="9"/>
      <c r="IL3" s="21"/>
      <c r="IM3" s="8"/>
      <c r="IN3" s="8"/>
      <c r="IO3" s="8"/>
      <c r="IP3" s="8"/>
      <c r="IQ3" s="8"/>
      <c r="IR3" s="8"/>
      <c r="IS3" s="8"/>
      <c r="IT3" s="9"/>
      <c r="IV3" s="21"/>
      <c r="IW3" s="8" t="s">
        <v>335</v>
      </c>
      <c r="IX3" s="8"/>
      <c r="IY3" s="8" t="s">
        <v>336</v>
      </c>
      <c r="IZ3" s="8"/>
      <c r="JA3" s="8" t="s">
        <v>337</v>
      </c>
      <c r="JB3" s="8"/>
      <c r="JC3" s="8"/>
      <c r="JD3" s="9"/>
      <c r="JF3" s="21"/>
      <c r="JG3" s="8"/>
      <c r="JH3" s="94" t="s">
        <v>344</v>
      </c>
      <c r="JI3" s="94"/>
      <c r="JJ3" s="8"/>
      <c r="JK3" s="8"/>
      <c r="JL3" s="8"/>
      <c r="JM3" s="9"/>
      <c r="JO3" s="21"/>
      <c r="JP3" s="8"/>
      <c r="JQ3" s="94" t="s">
        <v>354</v>
      </c>
      <c r="JR3" s="94"/>
      <c r="JS3" s="8"/>
      <c r="JT3" s="8"/>
      <c r="JU3" s="8"/>
      <c r="JV3" s="9"/>
    </row>
    <row r="4" spans="2:282" ht="17.5" x14ac:dyDescent="0.45">
      <c r="B4" s="6"/>
      <c r="C4" s="7" t="s">
        <v>225</v>
      </c>
      <c r="D4" s="7" t="s">
        <v>0</v>
      </c>
      <c r="E4" s="7" t="s">
        <v>1</v>
      </c>
      <c r="F4" s="7" t="s">
        <v>2</v>
      </c>
      <c r="G4" s="7" t="s">
        <v>229</v>
      </c>
      <c r="H4" s="8"/>
      <c r="I4" s="7" t="s">
        <v>15</v>
      </c>
      <c r="J4" s="7" t="s">
        <v>247</v>
      </c>
      <c r="K4" s="10"/>
      <c r="M4" s="6"/>
      <c r="N4" s="92" t="s">
        <v>225</v>
      </c>
      <c r="O4" s="92" t="s">
        <v>0</v>
      </c>
      <c r="P4" s="92" t="s">
        <v>1</v>
      </c>
      <c r="Q4" s="92" t="s">
        <v>2</v>
      </c>
      <c r="R4" s="92" t="s">
        <v>229</v>
      </c>
      <c r="S4" s="8"/>
      <c r="T4" s="92" t="s">
        <v>15</v>
      </c>
      <c r="U4" s="92" t="s">
        <v>247</v>
      </c>
      <c r="V4" s="10"/>
      <c r="X4" s="21"/>
      <c r="Y4" s="7" t="s">
        <v>237</v>
      </c>
      <c r="Z4" s="7">
        <v>50</v>
      </c>
      <c r="AA4" s="7">
        <f>1/5</f>
        <v>0.2</v>
      </c>
      <c r="AB4" s="7">
        <f t="shared" ref="AB4:AB9" si="0">+AA4*$Z$9</f>
        <v>20</v>
      </c>
      <c r="AC4" s="7">
        <f>+(Z4-AB4)^2/AB4</f>
        <v>45</v>
      </c>
      <c r="AD4" s="7"/>
      <c r="AE4" s="7" t="s">
        <v>15</v>
      </c>
      <c r="AF4" s="14" t="s">
        <v>248</v>
      </c>
      <c r="AG4" s="7"/>
      <c r="AH4" s="8"/>
      <c r="AI4" s="9"/>
      <c r="AK4" s="21"/>
      <c r="AL4" s="8" t="s">
        <v>17</v>
      </c>
      <c r="AM4" s="7">
        <v>10</v>
      </c>
      <c r="AN4" s="8"/>
      <c r="AO4" s="8"/>
      <c r="AP4" s="8"/>
      <c r="AQ4" s="8"/>
      <c r="AR4" s="7" t="s">
        <v>15</v>
      </c>
      <c r="AS4" s="14" t="s">
        <v>252</v>
      </c>
      <c r="AT4" s="7"/>
      <c r="AU4" s="9"/>
      <c r="AW4" s="6" t="s">
        <v>263</v>
      </c>
      <c r="AX4" s="7" t="s">
        <v>264</v>
      </c>
      <c r="AY4" s="8" t="s">
        <v>264</v>
      </c>
      <c r="AZ4" s="7" t="s">
        <v>21</v>
      </c>
      <c r="BA4" s="7" t="s">
        <v>266</v>
      </c>
      <c r="BB4" s="7" t="s">
        <v>0</v>
      </c>
      <c r="BC4" s="7" t="s">
        <v>1</v>
      </c>
      <c r="BD4" s="7" t="s">
        <v>2</v>
      </c>
      <c r="BE4" s="7" t="s">
        <v>229</v>
      </c>
      <c r="BF4" s="8"/>
      <c r="BG4" s="7" t="s">
        <v>15</v>
      </c>
      <c r="BH4" s="14" t="s">
        <v>268</v>
      </c>
      <c r="BI4" s="7"/>
      <c r="BJ4" s="9"/>
      <c r="BK4" s="8"/>
      <c r="BL4" s="6" t="s">
        <v>263</v>
      </c>
      <c r="BM4" s="7" t="s">
        <v>264</v>
      </c>
      <c r="BN4" s="8" t="s">
        <v>264</v>
      </c>
      <c r="BO4" s="7" t="s">
        <v>21</v>
      </c>
      <c r="BP4" s="7" t="s">
        <v>266</v>
      </c>
      <c r="BQ4" s="7" t="s">
        <v>0</v>
      </c>
      <c r="BR4" s="7" t="s">
        <v>1</v>
      </c>
      <c r="BS4" s="7" t="s">
        <v>2</v>
      </c>
      <c r="BT4" s="7" t="s">
        <v>229</v>
      </c>
      <c r="BU4" s="8"/>
      <c r="BV4" s="7" t="s">
        <v>15</v>
      </c>
      <c r="BW4" s="14" t="s">
        <v>268</v>
      </c>
      <c r="BX4" s="7"/>
      <c r="BY4" s="9"/>
      <c r="BZ4" s="8"/>
      <c r="CA4" s="49"/>
      <c r="CB4" s="57"/>
      <c r="CC4" s="4" t="s">
        <v>265</v>
      </c>
      <c r="CD4" s="38" t="s">
        <v>44</v>
      </c>
      <c r="CE4" s="3" t="s">
        <v>45</v>
      </c>
      <c r="CF4" s="38"/>
      <c r="CG4" s="59" t="s">
        <v>90</v>
      </c>
      <c r="CH4" s="55" t="s">
        <v>91</v>
      </c>
      <c r="CI4" s="8"/>
      <c r="CJ4" s="31"/>
      <c r="CK4" s="8"/>
      <c r="CL4" s="8"/>
      <c r="CM4" s="9"/>
      <c r="CO4" s="38" t="s">
        <v>279</v>
      </c>
      <c r="CP4" s="37" t="s">
        <v>57</v>
      </c>
      <c r="CQ4" s="38" t="s">
        <v>56</v>
      </c>
      <c r="CR4" s="34" t="s">
        <v>51</v>
      </c>
      <c r="CS4" s="39" t="s">
        <v>52</v>
      </c>
      <c r="CT4" s="39" t="s">
        <v>53</v>
      </c>
      <c r="CU4" s="39" t="s">
        <v>54</v>
      </c>
      <c r="CV4" s="32" t="s">
        <v>55</v>
      </c>
      <c r="CW4" s="8"/>
      <c r="CX4" s="44" t="s">
        <v>280</v>
      </c>
      <c r="CY4" s="8"/>
      <c r="CZ4" s="8"/>
      <c r="DA4" s="8"/>
      <c r="DB4" s="9"/>
      <c r="DD4" s="38" t="s">
        <v>279</v>
      </c>
      <c r="DE4" s="37" t="s">
        <v>57</v>
      </c>
      <c r="DF4" s="38" t="s">
        <v>56</v>
      </c>
      <c r="DG4" s="34" t="s">
        <v>51</v>
      </c>
      <c r="DH4" s="39" t="s">
        <v>52</v>
      </c>
      <c r="DI4" s="39" t="s">
        <v>53</v>
      </c>
      <c r="DJ4" s="39" t="s">
        <v>54</v>
      </c>
      <c r="DK4" s="32" t="s">
        <v>55</v>
      </c>
      <c r="DL4" s="8"/>
      <c r="DM4" s="44" t="s">
        <v>280</v>
      </c>
      <c r="DN4" s="8"/>
      <c r="DO4" s="8"/>
      <c r="DP4" s="8"/>
      <c r="DQ4" s="9"/>
      <c r="DS4" s="38" t="s">
        <v>279</v>
      </c>
      <c r="DT4" s="37" t="s">
        <v>57</v>
      </c>
      <c r="DU4" s="38" t="s">
        <v>56</v>
      </c>
      <c r="DV4" s="34" t="s">
        <v>51</v>
      </c>
      <c r="DW4" s="39" t="s">
        <v>52</v>
      </c>
      <c r="DX4" s="39" t="s">
        <v>53</v>
      </c>
      <c r="DY4" s="39" t="s">
        <v>54</v>
      </c>
      <c r="DZ4" s="32" t="s">
        <v>55</v>
      </c>
      <c r="EA4" s="8"/>
      <c r="EB4" s="44" t="s">
        <v>280</v>
      </c>
      <c r="EC4" s="8"/>
      <c r="ED4" s="8"/>
      <c r="EE4" s="8"/>
      <c r="EF4" s="9"/>
      <c r="EH4" s="49"/>
      <c r="EI4" s="57"/>
      <c r="EJ4" s="4" t="s">
        <v>274</v>
      </c>
      <c r="EK4" s="38" t="s">
        <v>44</v>
      </c>
      <c r="EL4" s="3" t="s">
        <v>45</v>
      </c>
      <c r="EM4" s="38"/>
      <c r="EN4" s="59" t="s">
        <v>90</v>
      </c>
      <c r="EO4" s="55" t="s">
        <v>91</v>
      </c>
      <c r="EP4" s="8"/>
      <c r="EQ4" s="31"/>
      <c r="ER4" s="8"/>
      <c r="ES4" s="8"/>
      <c r="ET4" s="9"/>
      <c r="EV4" s="6" t="s">
        <v>295</v>
      </c>
      <c r="EW4" s="7" t="s">
        <v>291</v>
      </c>
      <c r="EX4" s="91" t="s">
        <v>292</v>
      </c>
      <c r="EY4" s="7" t="s">
        <v>21</v>
      </c>
      <c r="EZ4" s="7" t="s">
        <v>266</v>
      </c>
      <c r="FA4" s="7" t="s">
        <v>0</v>
      </c>
      <c r="FB4" s="7" t="s">
        <v>1</v>
      </c>
      <c r="FC4" s="7" t="s">
        <v>2</v>
      </c>
      <c r="FD4" s="7" t="s">
        <v>229</v>
      </c>
      <c r="FE4" s="8"/>
      <c r="FF4" s="7" t="s">
        <v>15</v>
      </c>
      <c r="FG4" s="14" t="s">
        <v>268</v>
      </c>
      <c r="FH4" s="7"/>
      <c r="FI4" s="9"/>
      <c r="FK4" s="21" t="s">
        <v>297</v>
      </c>
      <c r="FL4" s="8"/>
      <c r="FM4" s="8"/>
      <c r="FN4" s="8"/>
      <c r="FO4" s="8"/>
      <c r="FP4" s="8"/>
      <c r="FQ4" s="8"/>
      <c r="FR4" s="8"/>
      <c r="FS4" s="8"/>
      <c r="FT4" s="8"/>
      <c r="FU4" s="8"/>
      <c r="FV4" s="9"/>
      <c r="FX4" s="21" t="s">
        <v>297</v>
      </c>
      <c r="FY4" s="8"/>
      <c r="FZ4" s="8"/>
      <c r="GA4" s="8"/>
      <c r="GB4" s="8"/>
      <c r="GC4" s="8"/>
      <c r="GD4" s="8"/>
      <c r="GE4" s="8"/>
      <c r="GF4" s="8"/>
      <c r="GG4" s="8"/>
      <c r="GH4" s="8"/>
      <c r="GI4" s="9"/>
      <c r="GK4" s="21" t="s">
        <v>305</v>
      </c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9"/>
      <c r="GZ4" s="21"/>
      <c r="HA4" s="8" t="s">
        <v>150</v>
      </c>
      <c r="HB4" s="8" t="s">
        <v>151</v>
      </c>
      <c r="HC4" s="8" t="s">
        <v>151</v>
      </c>
      <c r="HD4" s="8" t="s">
        <v>152</v>
      </c>
      <c r="HE4" s="8" t="s">
        <v>151</v>
      </c>
      <c r="HF4" s="8" t="s">
        <v>152</v>
      </c>
      <c r="HG4" s="8" t="s">
        <v>152</v>
      </c>
      <c r="HH4" s="8" t="s">
        <v>152</v>
      </c>
      <c r="HI4" s="8" t="s">
        <v>151</v>
      </c>
      <c r="HJ4" s="8" t="s">
        <v>151</v>
      </c>
      <c r="HK4" s="8" t="s">
        <v>151</v>
      </c>
      <c r="HL4" s="9"/>
      <c r="HN4" s="21"/>
      <c r="HO4" s="8" t="s">
        <v>150</v>
      </c>
      <c r="HP4" s="93">
        <v>1</v>
      </c>
      <c r="HQ4" s="93">
        <v>2</v>
      </c>
      <c r="HR4" s="93">
        <v>5</v>
      </c>
      <c r="HS4" s="93">
        <v>3</v>
      </c>
      <c r="HT4" s="93">
        <v>9</v>
      </c>
      <c r="HU4" s="93">
        <v>64</v>
      </c>
      <c r="HV4" s="93">
        <v>15</v>
      </c>
      <c r="HW4" s="93">
        <v>18</v>
      </c>
      <c r="HX4" s="93">
        <v>5</v>
      </c>
      <c r="HY4" s="19">
        <v>7</v>
      </c>
      <c r="HZ4" s="9"/>
      <c r="IA4" s="8"/>
      <c r="IB4" s="21"/>
      <c r="IC4" s="8" t="s">
        <v>314</v>
      </c>
      <c r="ID4" s="8"/>
      <c r="IE4" s="8"/>
      <c r="IF4" s="8"/>
      <c r="IG4" s="8"/>
      <c r="IH4" s="8"/>
      <c r="II4" s="8"/>
      <c r="IJ4" s="9"/>
      <c r="IL4" s="21"/>
      <c r="IM4" s="8" t="s">
        <v>314</v>
      </c>
      <c r="IN4" s="8"/>
      <c r="IO4" s="8"/>
      <c r="IP4" s="8"/>
      <c r="IQ4" s="8"/>
      <c r="IR4" s="8"/>
      <c r="IS4" s="8"/>
      <c r="IT4" s="9"/>
      <c r="IV4" s="21"/>
      <c r="IW4" s="8" t="s">
        <v>197</v>
      </c>
      <c r="IX4" s="8" t="s">
        <v>198</v>
      </c>
      <c r="IY4" s="8" t="s">
        <v>197</v>
      </c>
      <c r="IZ4" s="8" t="s">
        <v>198</v>
      </c>
      <c r="JA4" s="8" t="s">
        <v>197</v>
      </c>
      <c r="JB4" s="8" t="s">
        <v>199</v>
      </c>
      <c r="JC4" s="8" t="s">
        <v>198</v>
      </c>
      <c r="JD4" s="9" t="s">
        <v>200</v>
      </c>
      <c r="JF4" s="21"/>
      <c r="JG4" s="8" t="s">
        <v>345</v>
      </c>
      <c r="JH4" s="8" t="s">
        <v>346</v>
      </c>
      <c r="JI4" s="8" t="s">
        <v>347</v>
      </c>
      <c r="JJ4" s="8" t="s">
        <v>348</v>
      </c>
      <c r="JK4" s="8" t="s">
        <v>349</v>
      </c>
      <c r="JL4" s="8" t="s">
        <v>350</v>
      </c>
      <c r="JM4" s="9"/>
      <c r="JO4" s="21"/>
      <c r="JP4" s="8" t="s">
        <v>355</v>
      </c>
      <c r="JQ4" s="8" t="s">
        <v>346</v>
      </c>
      <c r="JR4" s="8" t="s">
        <v>347</v>
      </c>
      <c r="JS4" s="8" t="s">
        <v>348</v>
      </c>
      <c r="JT4" s="8" t="s">
        <v>349</v>
      </c>
      <c r="JU4" s="8" t="s">
        <v>350</v>
      </c>
      <c r="JV4" s="9"/>
    </row>
    <row r="5" spans="2:282" ht="18.5" x14ac:dyDescent="0.45">
      <c r="B5" s="6"/>
      <c r="C5" s="7" t="s">
        <v>226</v>
      </c>
      <c r="D5" s="7">
        <f>+D16+D17</f>
        <v>11</v>
      </c>
      <c r="E5" s="7">
        <f>POISSON(1,$E$27,TRUE)</f>
        <v>0.21007396983960605</v>
      </c>
      <c r="F5" s="7">
        <f>+E5*$D$25</f>
        <v>8.8231067332634545</v>
      </c>
      <c r="G5" s="7">
        <f>+(D5-F5)^2/F5</f>
        <v>0.5370970156007755</v>
      </c>
      <c r="H5" s="8"/>
      <c r="I5" s="11" t="s">
        <v>9</v>
      </c>
      <c r="J5" s="7">
        <v>0.05</v>
      </c>
      <c r="K5" s="10"/>
      <c r="M5" s="6"/>
      <c r="N5" s="92" t="s">
        <v>226</v>
      </c>
      <c r="O5" s="92">
        <f>+O16+O17</f>
        <v>14</v>
      </c>
      <c r="P5" s="92">
        <f>POISSON(1,$P$27,TRUE)</f>
        <v>0.11259444884238569</v>
      </c>
      <c r="Q5" s="92">
        <f>+P5*$O$25</f>
        <v>5.6297224421192844</v>
      </c>
      <c r="R5" s="92">
        <f>+(O5-Q5)^2/Q5</f>
        <v>12.44493793722221</v>
      </c>
      <c r="S5" s="8"/>
      <c r="T5" s="11" t="s">
        <v>9</v>
      </c>
      <c r="U5" s="92">
        <v>0.05</v>
      </c>
      <c r="V5" s="10"/>
      <c r="X5" s="21"/>
      <c r="Y5" s="7" t="s">
        <v>238</v>
      </c>
      <c r="Z5" s="7">
        <v>28</v>
      </c>
      <c r="AA5" s="7">
        <f>1/5</f>
        <v>0.2</v>
      </c>
      <c r="AB5" s="7">
        <f t="shared" si="0"/>
        <v>20</v>
      </c>
      <c r="AC5" s="7">
        <f>+(Z5-AB5)^2/AB5</f>
        <v>3.2</v>
      </c>
      <c r="AD5" s="7"/>
      <c r="AE5" s="11" t="s">
        <v>9</v>
      </c>
      <c r="AF5" s="7">
        <v>0.05</v>
      </c>
      <c r="AG5" s="7"/>
      <c r="AH5" s="8"/>
      <c r="AI5" s="9"/>
      <c r="AK5" s="21"/>
      <c r="AL5" s="8"/>
      <c r="AM5" s="8"/>
      <c r="AN5" s="8"/>
      <c r="AO5" s="8"/>
      <c r="AP5" s="8"/>
      <c r="AQ5" s="8"/>
      <c r="AR5" s="11" t="s">
        <v>9</v>
      </c>
      <c r="AS5" s="7">
        <v>0.01</v>
      </c>
      <c r="AT5" s="7"/>
      <c r="AU5" s="9"/>
      <c r="AW5" s="21">
        <v>1</v>
      </c>
      <c r="AX5" s="25">
        <v>4.9547322343241831</v>
      </c>
      <c r="AY5" s="25">
        <v>1.8581702230731025</v>
      </c>
      <c r="AZ5" s="8">
        <f>+AY5^2</f>
        <v>3.4527965779155436</v>
      </c>
      <c r="BA5" s="26" t="s">
        <v>37</v>
      </c>
      <c r="BB5" s="7">
        <f>COUNTIF($AY$5:$AY$34,"&lt;4,07")</f>
        <v>4</v>
      </c>
      <c r="BC5" s="8">
        <v>0.2</v>
      </c>
      <c r="BD5" s="8">
        <f>+BC5*$AZ$37</f>
        <v>6</v>
      </c>
      <c r="BE5" s="27">
        <f>+(BB5-BD5)^2/BD5</f>
        <v>0.66666666666666663</v>
      </c>
      <c r="BF5" s="8"/>
      <c r="BG5" s="11" t="s">
        <v>9</v>
      </c>
      <c r="BH5" s="7">
        <v>0.01</v>
      </c>
      <c r="BI5" s="7"/>
      <c r="BJ5" s="9"/>
      <c r="BK5" s="8"/>
      <c r="BL5" s="21">
        <v>1</v>
      </c>
      <c r="BM5" s="25">
        <v>4.9547322343241831</v>
      </c>
      <c r="BN5" s="25">
        <v>1.8581702230731025</v>
      </c>
      <c r="BO5" s="8">
        <f>+BN5^2</f>
        <v>3.4527965779155436</v>
      </c>
      <c r="BP5" s="26" t="s">
        <v>82</v>
      </c>
      <c r="BQ5" s="7">
        <v>2</v>
      </c>
      <c r="BR5" s="8">
        <f>1/8</f>
        <v>0.125</v>
      </c>
      <c r="BS5" s="8">
        <f>+BR5*$BO$37</f>
        <v>3.75</v>
      </c>
      <c r="BT5" s="27">
        <f t="shared" ref="BT5:BT12" si="1">+(BQ5-BS5)^2/BS5</f>
        <v>0.81666666666666665</v>
      </c>
      <c r="BU5" s="8"/>
      <c r="BV5" s="11" t="s">
        <v>9</v>
      </c>
      <c r="BW5" s="7">
        <v>0.01</v>
      </c>
      <c r="BX5" s="7"/>
      <c r="BY5" s="9"/>
      <c r="BZ5" s="8"/>
      <c r="CA5" s="15" t="s">
        <v>277</v>
      </c>
      <c r="CB5" s="36" t="s">
        <v>264</v>
      </c>
      <c r="CC5" s="17" t="s">
        <v>264</v>
      </c>
      <c r="CD5" s="58" t="s">
        <v>42</v>
      </c>
      <c r="CE5" s="16" t="s">
        <v>43</v>
      </c>
      <c r="CF5" s="36" t="s">
        <v>46</v>
      </c>
      <c r="CG5" s="36" t="s">
        <v>49</v>
      </c>
      <c r="CH5" s="56" t="s">
        <v>50</v>
      </c>
      <c r="CI5" s="8"/>
      <c r="CJ5" s="7" t="s">
        <v>14</v>
      </c>
      <c r="CK5" s="14" t="s">
        <v>267</v>
      </c>
      <c r="CL5" s="7"/>
      <c r="CM5" s="9"/>
      <c r="CO5" s="43"/>
      <c r="CP5" s="15"/>
      <c r="CQ5" s="36"/>
      <c r="CR5" s="35" t="s">
        <v>58</v>
      </c>
      <c r="CS5" s="40" t="s">
        <v>59</v>
      </c>
      <c r="CT5" s="42"/>
      <c r="CU5" s="42"/>
      <c r="CV5" s="41"/>
      <c r="CW5" s="8"/>
      <c r="CX5" s="8" t="s">
        <v>24</v>
      </c>
      <c r="CY5" s="8">
        <v>10</v>
      </c>
      <c r="CZ5" s="8"/>
      <c r="DA5" s="8"/>
      <c r="DB5" s="9"/>
      <c r="DD5" s="43"/>
      <c r="DE5" s="15"/>
      <c r="DF5" s="36"/>
      <c r="DG5" s="35" t="s">
        <v>58</v>
      </c>
      <c r="DH5" s="40" t="s">
        <v>59</v>
      </c>
      <c r="DI5" s="42"/>
      <c r="DJ5" s="42"/>
      <c r="DK5" s="41"/>
      <c r="DL5" s="8"/>
      <c r="DM5" s="8" t="s">
        <v>24</v>
      </c>
      <c r="DN5" s="8">
        <v>10</v>
      </c>
      <c r="DO5" s="8"/>
      <c r="DP5" s="8"/>
      <c r="DQ5" s="9"/>
      <c r="DS5" s="43"/>
      <c r="DT5" s="15"/>
      <c r="DU5" s="36"/>
      <c r="DV5" s="35" t="s">
        <v>58</v>
      </c>
      <c r="DW5" s="40" t="s">
        <v>59</v>
      </c>
      <c r="DX5" s="42"/>
      <c r="DY5" s="42"/>
      <c r="DZ5" s="41"/>
      <c r="EA5" s="8"/>
      <c r="EB5" s="8" t="s">
        <v>24</v>
      </c>
      <c r="EC5" s="8">
        <v>2</v>
      </c>
      <c r="ED5" s="8"/>
      <c r="EE5" s="8"/>
      <c r="EF5" s="9"/>
      <c r="EH5" s="15" t="s">
        <v>290</v>
      </c>
      <c r="EI5" s="36" t="s">
        <v>291</v>
      </c>
      <c r="EJ5" s="16" t="s">
        <v>292</v>
      </c>
      <c r="EK5" s="58" t="s">
        <v>42</v>
      </c>
      <c r="EL5" s="16" t="s">
        <v>43</v>
      </c>
      <c r="EM5" s="36" t="s">
        <v>46</v>
      </c>
      <c r="EN5" s="36" t="s">
        <v>49</v>
      </c>
      <c r="EO5" s="56" t="s">
        <v>50</v>
      </c>
      <c r="EP5" s="8"/>
      <c r="EQ5" s="7" t="s">
        <v>14</v>
      </c>
      <c r="ER5" s="14" t="s">
        <v>267</v>
      </c>
      <c r="ES5" s="7"/>
      <c r="ET5" s="9"/>
      <c r="EV5" s="21">
        <v>1</v>
      </c>
      <c r="EW5" s="25">
        <v>5.3867558007186744</v>
      </c>
      <c r="EX5" s="25">
        <v>1.3132177072111517</v>
      </c>
      <c r="EY5" s="8">
        <f>+EX5^2</f>
        <v>1.7245407465329141</v>
      </c>
      <c r="EZ5" s="26" t="s">
        <v>98</v>
      </c>
      <c r="FA5" s="61">
        <v>4</v>
      </c>
      <c r="FB5" s="7">
        <f>1/10</f>
        <v>0.1</v>
      </c>
      <c r="FC5" s="7">
        <f>+FB5*$EV$54</f>
        <v>5</v>
      </c>
      <c r="FD5" s="25">
        <f>+(FA5-FC5)^2/FC5</f>
        <v>0.2</v>
      </c>
      <c r="FE5" s="8"/>
      <c r="FF5" s="11" t="s">
        <v>9</v>
      </c>
      <c r="FG5" s="7">
        <v>0.01</v>
      </c>
      <c r="FH5" s="7"/>
      <c r="FI5" s="9"/>
      <c r="FK5" s="21"/>
      <c r="FL5" s="8"/>
      <c r="FM5" s="8"/>
      <c r="FN5" s="8"/>
      <c r="FO5" s="8"/>
      <c r="FQ5" s="8"/>
      <c r="FR5" s="8"/>
      <c r="FS5" s="8"/>
      <c r="FT5" s="8"/>
      <c r="FU5" s="8"/>
      <c r="FV5" s="9"/>
      <c r="FX5" s="21"/>
      <c r="FY5" s="8"/>
      <c r="FZ5" s="8"/>
      <c r="GA5" s="8"/>
      <c r="GB5" s="8"/>
      <c r="GD5" s="8"/>
      <c r="GE5" s="8"/>
      <c r="GF5" s="8"/>
      <c r="GG5" s="8"/>
      <c r="GH5" s="8"/>
      <c r="GI5" s="9"/>
      <c r="GK5" s="21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9"/>
      <c r="GZ5" s="21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9"/>
      <c r="HN5" s="21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9"/>
      <c r="IA5" s="8"/>
      <c r="IB5" s="21"/>
      <c r="IC5" s="8"/>
      <c r="ID5" s="7" t="s">
        <v>180</v>
      </c>
      <c r="IE5" s="7" t="s">
        <v>181</v>
      </c>
      <c r="IF5" s="7" t="s">
        <v>182</v>
      </c>
      <c r="IG5" s="7" t="s">
        <v>183</v>
      </c>
      <c r="IH5" s="7" t="s">
        <v>184</v>
      </c>
      <c r="II5" s="7" t="s">
        <v>186</v>
      </c>
      <c r="IJ5" s="9"/>
      <c r="IL5" s="21"/>
      <c r="IM5" s="8"/>
      <c r="IN5" s="7" t="s">
        <v>180</v>
      </c>
      <c r="IO5" s="7" t="s">
        <v>181</v>
      </c>
      <c r="IP5" s="7" t="s">
        <v>182</v>
      </c>
      <c r="IQ5" s="7" t="s">
        <v>183</v>
      </c>
      <c r="IR5" s="7" t="s">
        <v>184</v>
      </c>
      <c r="IS5" s="7" t="s">
        <v>186</v>
      </c>
      <c r="IT5" s="9"/>
      <c r="IV5" s="21"/>
      <c r="IW5" s="7">
        <v>7</v>
      </c>
      <c r="IX5" s="7">
        <v>6.5</v>
      </c>
      <c r="IY5" s="7">
        <v>2</v>
      </c>
      <c r="IZ5" s="7">
        <v>3.2</v>
      </c>
      <c r="JA5" s="7">
        <f>+IY5</f>
        <v>2</v>
      </c>
      <c r="JB5" s="7">
        <v>1</v>
      </c>
      <c r="JC5" s="7"/>
      <c r="JD5" s="10"/>
      <c r="JE5" s="82"/>
      <c r="JF5" s="86"/>
      <c r="JG5" s="7">
        <v>1</v>
      </c>
      <c r="JH5" s="7">
        <v>3</v>
      </c>
      <c r="JI5" s="7">
        <v>7</v>
      </c>
      <c r="JJ5" s="7">
        <f>+JH5-JI5</f>
        <v>-4</v>
      </c>
      <c r="JK5" s="7"/>
      <c r="JL5" s="7">
        <v>8.5</v>
      </c>
      <c r="JM5" s="10"/>
      <c r="JN5" s="7"/>
      <c r="JO5" s="6"/>
      <c r="JP5" s="7">
        <v>1</v>
      </c>
      <c r="JQ5" s="7">
        <v>20</v>
      </c>
      <c r="JR5" s="7">
        <v>26</v>
      </c>
      <c r="JS5" s="7">
        <f>+JQ5-JR5</f>
        <v>-6</v>
      </c>
      <c r="JT5" s="7"/>
      <c r="JU5" s="19">
        <v>18</v>
      </c>
      <c r="JV5" s="9"/>
    </row>
    <row r="6" spans="2:282" x14ac:dyDescent="0.35">
      <c r="B6" s="6"/>
      <c r="C6" s="7">
        <v>2</v>
      </c>
      <c r="D6" s="7">
        <f>+D18</f>
        <v>10</v>
      </c>
      <c r="E6" s="7">
        <f>POISSON(C6,$E$27,FALSE)</f>
        <v>0.22930801513011548</v>
      </c>
      <c r="F6" s="7">
        <f>+E6*$D$25</f>
        <v>9.6309366354648507</v>
      </c>
      <c r="G6" s="7">
        <f>+(D6-F6)^2/F6</f>
        <v>1.4142733173057602E-2</v>
      </c>
      <c r="H6" s="8"/>
      <c r="I6" s="7" t="s">
        <v>230</v>
      </c>
      <c r="J6" s="7">
        <v>3</v>
      </c>
      <c r="K6" s="10"/>
      <c r="M6" s="6"/>
      <c r="N6" s="92">
        <v>2</v>
      </c>
      <c r="O6" s="92">
        <f>+O18</f>
        <v>5</v>
      </c>
      <c r="P6" s="92">
        <f>POISSON(N6,$P$27,FALSE)</f>
        <v>0.16613144647972092</v>
      </c>
      <c r="Q6" s="92">
        <f t="shared" ref="Q6:Q9" si="2">+P6*$O$25</f>
        <v>8.3065723239860461</v>
      </c>
      <c r="R6" s="92">
        <f>+(O6-Q6)^2/Q6</f>
        <v>1.3162373247722352</v>
      </c>
      <c r="S6" s="8"/>
      <c r="T6" s="92" t="s">
        <v>230</v>
      </c>
      <c r="U6" s="92">
        <v>3</v>
      </c>
      <c r="V6" s="10"/>
      <c r="X6" s="21"/>
      <c r="Y6" s="7" t="s">
        <v>239</v>
      </c>
      <c r="Z6" s="7">
        <v>15</v>
      </c>
      <c r="AA6" s="7">
        <f>1/5</f>
        <v>0.2</v>
      </c>
      <c r="AB6" s="7">
        <f t="shared" si="0"/>
        <v>20</v>
      </c>
      <c r="AC6" s="7">
        <f>+(Z6-AB6)^2/AB6</f>
        <v>1.25</v>
      </c>
      <c r="AD6" s="7"/>
      <c r="AE6" s="7" t="s">
        <v>245</v>
      </c>
      <c r="AF6" s="7">
        <v>4</v>
      </c>
      <c r="AG6" s="7"/>
      <c r="AH6" s="8"/>
      <c r="AI6" s="9"/>
      <c r="AK6" s="21"/>
      <c r="AL6" s="7" t="s">
        <v>255</v>
      </c>
      <c r="AM6" s="7"/>
      <c r="AN6" s="7"/>
      <c r="AO6" s="7"/>
      <c r="AP6" s="7" t="s">
        <v>259</v>
      </c>
      <c r="AQ6" s="8"/>
      <c r="AR6" s="7" t="s">
        <v>245</v>
      </c>
      <c r="AS6" s="7">
        <v>4</v>
      </c>
      <c r="AT6" s="7"/>
      <c r="AU6" s="9"/>
      <c r="AW6" s="21">
        <f>1+AW5</f>
        <v>2</v>
      </c>
      <c r="AX6" s="25">
        <v>5.9866801658754412</v>
      </c>
      <c r="AY6" s="25">
        <v>2.1385174174210988</v>
      </c>
      <c r="AZ6" s="8">
        <f t="shared" ref="AZ6:AZ34" si="3">+AY6^2</f>
        <v>4.5732567446134063</v>
      </c>
      <c r="BA6" s="26" t="s">
        <v>38</v>
      </c>
      <c r="BB6" s="25">
        <f>COUNTIF($AY$5:$AY$34,"&lt;=5")-BB5</f>
        <v>9</v>
      </c>
      <c r="BC6" s="8">
        <v>0.2</v>
      </c>
      <c r="BD6" s="8">
        <f>+BC6*$AZ$37</f>
        <v>6</v>
      </c>
      <c r="BE6" s="7">
        <f>+(BB6-BD6)^2/BD6</f>
        <v>1.5</v>
      </c>
      <c r="BF6" s="8"/>
      <c r="BG6" s="7" t="s">
        <v>245</v>
      </c>
      <c r="BH6" s="7">
        <v>2</v>
      </c>
      <c r="BI6" s="7"/>
      <c r="BJ6" s="9"/>
      <c r="BK6" s="8"/>
      <c r="BL6" s="21">
        <f>1+BL5</f>
        <v>2</v>
      </c>
      <c r="BM6" s="25">
        <v>5.9866801658754412</v>
      </c>
      <c r="BN6" s="25">
        <v>2.1385174174210988</v>
      </c>
      <c r="BO6" s="8">
        <f t="shared" ref="BO6:BO34" si="4">+BN6^2</f>
        <v>4.5732567446134063</v>
      </c>
      <c r="BP6" s="26" t="s">
        <v>83</v>
      </c>
      <c r="BQ6" s="25">
        <v>5</v>
      </c>
      <c r="BR6" s="8">
        <f t="shared" ref="BR6:BR12" si="5">1/8</f>
        <v>0.125</v>
      </c>
      <c r="BS6" s="8">
        <f t="shared" ref="BS6:BS13" si="6">+BR6*$BO$37</f>
        <v>3.75</v>
      </c>
      <c r="BT6" s="7">
        <f t="shared" si="1"/>
        <v>0.41666666666666669</v>
      </c>
      <c r="BU6" s="8"/>
      <c r="BV6" s="7" t="s">
        <v>245</v>
      </c>
      <c r="BW6" s="7">
        <v>5</v>
      </c>
      <c r="BX6" s="7"/>
      <c r="BY6" s="9"/>
      <c r="BZ6" s="8"/>
      <c r="CA6" s="52">
        <v>1</v>
      </c>
      <c r="CB6" s="53">
        <v>4.9547322343241831</v>
      </c>
      <c r="CC6" s="53">
        <v>1.8581702230731025</v>
      </c>
      <c r="CD6" s="54">
        <f>+(CA6-1)/$CA$35</f>
        <v>0</v>
      </c>
      <c r="CE6" s="54">
        <f>+CA6/$CA$35</f>
        <v>3.3333333333333333E-2</v>
      </c>
      <c r="CF6" s="52">
        <f t="shared" ref="CF6:CF35" si="7">NORMDIST(CC6,$CK$2,$CK$3,TRUE)</f>
        <v>1.2794374641333867E-2</v>
      </c>
      <c r="CG6" s="54">
        <f>+ABS(CD6-CF6)</f>
        <v>1.2794374641333867E-2</v>
      </c>
      <c r="CH6" s="54">
        <f>+ABS(CE6-CF6)</f>
        <v>2.0538958691999468E-2</v>
      </c>
      <c r="CI6" s="8"/>
      <c r="CJ6" s="7" t="s">
        <v>15</v>
      </c>
      <c r="CK6" s="14" t="s">
        <v>268</v>
      </c>
      <c r="CL6" s="7"/>
      <c r="CM6" s="9"/>
      <c r="CO6" s="45">
        <v>16.555070650349435</v>
      </c>
      <c r="CP6" s="33">
        <v>1</v>
      </c>
      <c r="CQ6" s="45">
        <v>10.182500686666463</v>
      </c>
      <c r="CR6" s="33">
        <f>+(CP6-1)/$CP$25</f>
        <v>0</v>
      </c>
      <c r="CS6" s="33">
        <f>+CP6/$CP$25</f>
        <v>0.05</v>
      </c>
      <c r="CT6" s="45">
        <f>+(CQ6-$CY$5)/($CY$6-$CY$5)</f>
        <v>1.8250068666646337E-2</v>
      </c>
      <c r="CU6" s="45">
        <f>+ABS(CR6-CT6)</f>
        <v>1.8250068666646337E-2</v>
      </c>
      <c r="CV6" s="45">
        <f>+ABS(CS6-CT6)</f>
        <v>3.1749931333353666E-2</v>
      </c>
      <c r="CW6" s="8"/>
      <c r="CX6" s="8" t="s">
        <v>60</v>
      </c>
      <c r="CY6" s="8">
        <v>20</v>
      </c>
      <c r="CZ6" s="8"/>
      <c r="DA6" s="8"/>
      <c r="DB6" s="9"/>
      <c r="DD6" s="45">
        <v>15.246873241849244</v>
      </c>
      <c r="DE6" s="33">
        <v>1</v>
      </c>
      <c r="DF6" s="45">
        <v>10.01902493648231</v>
      </c>
      <c r="DG6" s="33">
        <f>+(DE6-1)/$CP$25</f>
        <v>0</v>
      </c>
      <c r="DH6" s="33">
        <f>+DE6/$CP$25</f>
        <v>0.05</v>
      </c>
      <c r="DI6" s="45">
        <f>+(DF6-$CY$5)/($CY$6-$CY$5)</f>
        <v>1.9024936482310295E-3</v>
      </c>
      <c r="DJ6" s="45">
        <f>+ABS(DG6-DI6)</f>
        <v>1.9024936482310295E-3</v>
      </c>
      <c r="DK6" s="45">
        <f>+ABS(DH6-DI6)</f>
        <v>4.8097506351768973E-2</v>
      </c>
      <c r="DL6" s="8"/>
      <c r="DM6" s="8" t="s">
        <v>60</v>
      </c>
      <c r="DN6" s="8">
        <v>20</v>
      </c>
      <c r="DO6" s="8"/>
      <c r="DP6" s="8"/>
      <c r="DQ6" s="9"/>
      <c r="DS6" s="47">
        <v>2.9015167699209572</v>
      </c>
      <c r="DT6" s="33">
        <v>1</v>
      </c>
      <c r="DU6" s="47">
        <v>2.0006103701895199</v>
      </c>
      <c r="DV6" s="47">
        <f>+(DT6-1)/+$DT$17</f>
        <v>0</v>
      </c>
      <c r="DW6" s="47">
        <f>+DT6/+$DT$17</f>
        <v>8.3333333333333329E-2</v>
      </c>
      <c r="DX6" s="47">
        <f>+(DU6-$EC$5)/($EC$6-$EC$5)</f>
        <v>1.5259254737998162E-4</v>
      </c>
      <c r="DY6" s="47">
        <f>+ABS(DV6-DX6)</f>
        <v>1.5259254737998162E-4</v>
      </c>
      <c r="DZ6" s="47">
        <f>+ABS(DW6-DX6)</f>
        <v>8.3180740785953347E-2</v>
      </c>
      <c r="EA6" s="8"/>
      <c r="EB6" s="8" t="s">
        <v>60</v>
      </c>
      <c r="EC6" s="8">
        <v>6</v>
      </c>
      <c r="ED6" s="8"/>
      <c r="EE6" s="8"/>
      <c r="EF6" s="9"/>
      <c r="EH6" s="52">
        <v>1</v>
      </c>
      <c r="EI6" s="47">
        <v>5.3867558007186744</v>
      </c>
      <c r="EJ6" s="47">
        <v>1.3132177072111517</v>
      </c>
      <c r="EK6" s="47">
        <f>+(EH6-1)/$EH$55</f>
        <v>0</v>
      </c>
      <c r="EL6" s="47">
        <f>+EH6/$EH$55</f>
        <v>0.02</v>
      </c>
      <c r="EM6" s="45">
        <f>NORMDIST(EJ6,$ER$2,$ER$3,TRUE)</f>
        <v>5.0548152278494709E-3</v>
      </c>
      <c r="EN6" s="45">
        <f>+ABS(EK6-EM6)</f>
        <v>5.0548152278494709E-3</v>
      </c>
      <c r="EO6" s="45">
        <f>+ABS(EL6-EM6)</f>
        <v>1.494518477215053E-2</v>
      </c>
      <c r="EP6" s="8"/>
      <c r="EQ6" s="7" t="s">
        <v>15</v>
      </c>
      <c r="ER6" s="14" t="s">
        <v>268</v>
      </c>
      <c r="ES6" s="7"/>
      <c r="ET6" s="9"/>
      <c r="EV6" s="21">
        <f>1+EV5</f>
        <v>2</v>
      </c>
      <c r="EW6" s="25">
        <v>5.9876259809971089</v>
      </c>
      <c r="EX6" s="25">
        <v>1.466640368453227</v>
      </c>
      <c r="EY6" s="8">
        <f t="shared" ref="EY6:EY54" si="8">+EX6^2</f>
        <v>2.1510339703766173</v>
      </c>
      <c r="EZ6" s="26" t="s">
        <v>99</v>
      </c>
      <c r="FA6" s="61">
        <v>2</v>
      </c>
      <c r="FB6" s="7">
        <f t="shared" ref="FB6:FB14" si="9">1/10</f>
        <v>0.1</v>
      </c>
      <c r="FC6" s="7">
        <f t="shared" ref="FC6:FC14" si="10">+FB6*$EV$54</f>
        <v>5</v>
      </c>
      <c r="FD6" s="25">
        <f t="shared" ref="FD6:FD14" si="11">+(FA6-FC6)^2/FC6</f>
        <v>1.8</v>
      </c>
      <c r="FE6" s="8"/>
      <c r="FF6" s="7" t="s">
        <v>245</v>
      </c>
      <c r="FG6" s="7">
        <v>7</v>
      </c>
      <c r="FH6" s="7"/>
      <c r="FI6" s="9"/>
      <c r="FK6" s="6"/>
      <c r="FL6" s="8"/>
      <c r="FM6" s="8" t="s">
        <v>298</v>
      </c>
      <c r="FN6" s="8" t="s">
        <v>299</v>
      </c>
      <c r="FO6" s="8"/>
      <c r="FP6" s="8" t="s">
        <v>300</v>
      </c>
      <c r="FQ6" s="8"/>
      <c r="FR6" s="8"/>
      <c r="FS6" s="8"/>
      <c r="FT6" s="8"/>
      <c r="FU6" s="8"/>
      <c r="FV6" s="9"/>
      <c r="FX6" s="6"/>
      <c r="FY6" s="8"/>
      <c r="FZ6" s="8" t="s">
        <v>298</v>
      </c>
      <c r="GA6" s="8" t="s">
        <v>299</v>
      </c>
      <c r="GB6" s="8"/>
      <c r="GC6" s="8" t="s">
        <v>300</v>
      </c>
      <c r="GD6" s="8"/>
      <c r="GE6" s="8"/>
      <c r="GF6" s="8"/>
      <c r="GG6" s="8"/>
      <c r="GH6" s="8"/>
      <c r="GI6" s="9"/>
      <c r="GK6" s="6"/>
      <c r="GL6" s="8"/>
      <c r="GM6" s="8" t="s">
        <v>298</v>
      </c>
      <c r="GN6" s="8" t="s">
        <v>299</v>
      </c>
      <c r="GO6" s="8"/>
      <c r="GP6" s="8" t="s">
        <v>300</v>
      </c>
      <c r="GQ6" s="8"/>
      <c r="GR6" s="8"/>
      <c r="GS6" s="63"/>
      <c r="GT6" s="63"/>
      <c r="GU6" s="63"/>
      <c r="GV6" s="63"/>
      <c r="GW6" s="63"/>
      <c r="GX6" s="65"/>
      <c r="GY6" s="63"/>
      <c r="GZ6" s="21"/>
      <c r="HA6" s="8" t="s">
        <v>306</v>
      </c>
      <c r="HB6" s="8"/>
      <c r="HC6" s="8"/>
      <c r="HD6" s="8"/>
      <c r="HE6" s="8"/>
      <c r="HF6" s="8"/>
      <c r="HG6" s="8"/>
      <c r="HH6" s="8"/>
      <c r="HI6" s="8"/>
      <c r="HJ6" s="8"/>
      <c r="HK6" s="8"/>
      <c r="HL6" s="9"/>
      <c r="HN6" s="21"/>
      <c r="HO6" s="8" t="s">
        <v>153</v>
      </c>
      <c r="HP6" s="8">
        <f>MEDIAN(HP4:HY4)</f>
        <v>6</v>
      </c>
      <c r="HQ6" s="8"/>
      <c r="HR6" s="8"/>
      <c r="HS6" s="8"/>
      <c r="HT6" s="8"/>
      <c r="HU6" s="8"/>
      <c r="HV6" s="8"/>
      <c r="HW6" s="8"/>
      <c r="HX6" s="8"/>
      <c r="HY6" s="8"/>
      <c r="HZ6" s="9"/>
      <c r="IA6" s="8"/>
      <c r="IB6" s="21"/>
      <c r="IC6" s="8" t="s">
        <v>315</v>
      </c>
      <c r="ID6" s="7">
        <v>2</v>
      </c>
      <c r="IE6" s="7">
        <v>4</v>
      </c>
      <c r="IF6" s="7">
        <v>1</v>
      </c>
      <c r="IG6" s="7">
        <v>2</v>
      </c>
      <c r="IH6" s="7">
        <v>0</v>
      </c>
      <c r="II6" s="7">
        <f>SUM(ID6:IH6)</f>
        <v>9</v>
      </c>
      <c r="IJ6" s="9"/>
      <c r="IL6" s="21"/>
      <c r="IM6" s="8" t="s">
        <v>327</v>
      </c>
      <c r="IN6" s="7">
        <v>80</v>
      </c>
      <c r="IO6" s="7">
        <v>40</v>
      </c>
      <c r="IP6" s="7">
        <v>30</v>
      </c>
      <c r="IQ6" s="7">
        <v>75</v>
      </c>
      <c r="IR6" s="7">
        <v>2</v>
      </c>
      <c r="IS6" s="7">
        <f>SUM(IN6:IR6)</f>
        <v>227</v>
      </c>
      <c r="IT6" s="9"/>
      <c r="IV6" s="21"/>
      <c r="IW6" s="7">
        <v>6</v>
      </c>
      <c r="IX6" s="7">
        <v>7</v>
      </c>
      <c r="IY6" s="7">
        <v>3</v>
      </c>
      <c r="IZ6" s="7">
        <v>4</v>
      </c>
      <c r="JA6" s="7">
        <f>+IY6</f>
        <v>3</v>
      </c>
      <c r="JB6" s="7">
        <v>2</v>
      </c>
      <c r="JC6" s="7"/>
      <c r="JD6" s="10"/>
      <c r="JF6" s="21"/>
      <c r="JG6" s="7">
        <f>1+JG5</f>
        <v>2</v>
      </c>
      <c r="JH6" s="7">
        <v>2</v>
      </c>
      <c r="JI6" s="7">
        <v>6</v>
      </c>
      <c r="JJ6" s="7">
        <f t="shared" ref="JJ6:JJ16" si="12">+JH6-JI6</f>
        <v>-4</v>
      </c>
      <c r="JK6" s="7"/>
      <c r="JL6" s="7">
        <v>8.5</v>
      </c>
      <c r="JM6" s="10"/>
      <c r="JN6" s="7"/>
      <c r="JO6" s="6"/>
      <c r="JP6" s="7">
        <f>1+JP5</f>
        <v>2</v>
      </c>
      <c r="JQ6" s="7">
        <v>21</v>
      </c>
      <c r="JR6" s="7">
        <v>24</v>
      </c>
      <c r="JS6" s="7">
        <f t="shared" ref="JS6:JS29" si="13">+JQ6-JR6</f>
        <v>-3</v>
      </c>
      <c r="JT6" s="7"/>
      <c r="JU6" s="8">
        <v>10</v>
      </c>
      <c r="JV6" s="9"/>
    </row>
    <row r="7" spans="2:282" x14ac:dyDescent="0.35">
      <c r="B7" s="6"/>
      <c r="C7" s="7">
        <v>3</v>
      </c>
      <c r="D7" s="7">
        <f>+D19</f>
        <v>9</v>
      </c>
      <c r="E7" s="7">
        <f>POISSON(C7,$E$27,FALSE)</f>
        <v>0.22384830048416032</v>
      </c>
      <c r="F7" s="7">
        <f>+E7*$D$25</f>
        <v>9.4016286203347335</v>
      </c>
      <c r="G7" s="7">
        <f>+(D7-F7)^2/F7</f>
        <v>1.7157192140422835E-2</v>
      </c>
      <c r="H7" s="8"/>
      <c r="I7" s="7" t="s">
        <v>8</v>
      </c>
      <c r="J7" s="7">
        <v>7.8150000000000004</v>
      </c>
      <c r="K7" s="10"/>
      <c r="M7" s="6"/>
      <c r="N7" s="92">
        <v>3</v>
      </c>
      <c r="O7" s="92">
        <f>+O19</f>
        <v>9</v>
      </c>
      <c r="P7" s="92">
        <f t="shared" ref="P7:P8" si="14">POISSON(N7,$P$27,FALSE)</f>
        <v>0.20711053661138543</v>
      </c>
      <c r="Q7" s="92">
        <f t="shared" si="2"/>
        <v>10.355526830569271</v>
      </c>
      <c r="R7" s="92">
        <f>+(O7-Q7)^2/Q7</f>
        <v>0.17743693956439338</v>
      </c>
      <c r="S7" s="8"/>
      <c r="T7" s="92" t="s">
        <v>8</v>
      </c>
      <c r="U7" s="92">
        <v>7.8150000000000004</v>
      </c>
      <c r="V7" s="10"/>
      <c r="X7" s="21"/>
      <c r="Y7" s="7" t="s">
        <v>240</v>
      </c>
      <c r="Z7" s="7">
        <v>4</v>
      </c>
      <c r="AA7" s="7">
        <f>1/5</f>
        <v>0.2</v>
      </c>
      <c r="AB7" s="7">
        <f t="shared" si="0"/>
        <v>20</v>
      </c>
      <c r="AC7" s="7">
        <f>+(Z7-AB7)^2/AB7</f>
        <v>12.8</v>
      </c>
      <c r="AD7" s="7"/>
      <c r="AE7" s="7" t="s">
        <v>8</v>
      </c>
      <c r="AF7" s="7">
        <v>9.4879999999999995</v>
      </c>
      <c r="AG7" s="7"/>
      <c r="AH7" s="8"/>
      <c r="AI7" s="9"/>
      <c r="AK7" s="21"/>
      <c r="AL7" s="7" t="s">
        <v>256</v>
      </c>
      <c r="AM7" s="7" t="s">
        <v>0</v>
      </c>
      <c r="AN7" s="7" t="s">
        <v>1</v>
      </c>
      <c r="AO7" s="7" t="s">
        <v>2</v>
      </c>
      <c r="AP7" s="7" t="s">
        <v>229</v>
      </c>
      <c r="AQ7" s="8"/>
      <c r="AR7" s="7" t="s">
        <v>8</v>
      </c>
      <c r="AS7" s="7">
        <v>13.276999999999999</v>
      </c>
      <c r="AT7" s="7"/>
      <c r="AU7" s="9"/>
      <c r="AW7" s="21">
        <f t="shared" ref="AW7:AW34" si="15">1+AW6</f>
        <v>3</v>
      </c>
      <c r="AX7" s="25">
        <v>5.5374287209415343</v>
      </c>
      <c r="AY7" s="25">
        <v>3.7312631926906761</v>
      </c>
      <c r="AZ7" s="8">
        <f t="shared" si="3"/>
        <v>13.922325013128217</v>
      </c>
      <c r="BA7" s="26" t="s">
        <v>39</v>
      </c>
      <c r="BB7" s="25">
        <f>COUNTIF($AY$5:$AY$34,"&lt;5,81")-BB6-BB5</f>
        <v>6</v>
      </c>
      <c r="BC7" s="8">
        <v>0.2</v>
      </c>
      <c r="BD7" s="8">
        <f>+BC7*$AZ$37</f>
        <v>6</v>
      </c>
      <c r="BE7" s="7">
        <f>+(BB7-BD7)^2/BD7</f>
        <v>0</v>
      </c>
      <c r="BF7" s="8"/>
      <c r="BG7" s="7" t="s">
        <v>8</v>
      </c>
      <c r="BH7" s="7">
        <v>9.2100000000000009</v>
      </c>
      <c r="BI7" s="7"/>
      <c r="BJ7" s="9"/>
      <c r="BK7" s="8"/>
      <c r="BL7" s="21">
        <f t="shared" ref="BL7:BL34" si="16">1+BL6</f>
        <v>3</v>
      </c>
      <c r="BM7" s="25">
        <v>5.5374287209415343</v>
      </c>
      <c r="BN7" s="25">
        <v>3.7312631926906761</v>
      </c>
      <c r="BO7" s="8">
        <f t="shared" si="4"/>
        <v>13.922325013128217</v>
      </c>
      <c r="BP7" s="26" t="s">
        <v>84</v>
      </c>
      <c r="BQ7" s="25">
        <v>5</v>
      </c>
      <c r="BR7" s="8">
        <f t="shared" si="5"/>
        <v>0.125</v>
      </c>
      <c r="BS7" s="8">
        <f t="shared" si="6"/>
        <v>3.75</v>
      </c>
      <c r="BT7" s="7">
        <f t="shared" si="1"/>
        <v>0.41666666666666669</v>
      </c>
      <c r="BU7" s="8"/>
      <c r="BV7" s="7" t="s">
        <v>8</v>
      </c>
      <c r="BW7" s="7">
        <v>15.086</v>
      </c>
      <c r="BX7" s="7"/>
      <c r="BY7" s="9"/>
      <c r="BZ7" s="8"/>
      <c r="CA7" s="52">
        <f>1+CA6</f>
        <v>2</v>
      </c>
      <c r="CB7" s="53">
        <v>5.9866801658754412</v>
      </c>
      <c r="CC7" s="53">
        <v>2.1385174174210988</v>
      </c>
      <c r="CD7" s="54">
        <f t="shared" ref="CD7:CD35" si="17">+(CA7-1)/$CA$35</f>
        <v>3.3333333333333333E-2</v>
      </c>
      <c r="CE7" s="54">
        <f t="shared" ref="CE7:CE35" si="18">+CA7/$CA$35</f>
        <v>6.6666666666666666E-2</v>
      </c>
      <c r="CF7" s="52">
        <f t="shared" si="7"/>
        <v>1.9878147860677459E-2</v>
      </c>
      <c r="CG7" s="54">
        <f t="shared" ref="CG7:CG35" si="19">+ABS(CD7-CF7)</f>
        <v>1.3455185472655874E-2</v>
      </c>
      <c r="CH7" s="54">
        <f t="shared" ref="CH7:CH35" si="20">+ABS(CE7-CF7)</f>
        <v>4.6788518805989207E-2</v>
      </c>
      <c r="CI7" s="8"/>
      <c r="CJ7" s="11" t="s">
        <v>9</v>
      </c>
      <c r="CK7" s="7">
        <v>0.01</v>
      </c>
      <c r="CL7" s="7"/>
      <c r="CM7" s="9"/>
      <c r="CO7" s="45">
        <v>10.182500686666463</v>
      </c>
      <c r="CP7" s="33">
        <f>1+CP6</f>
        <v>2</v>
      </c>
      <c r="CQ7" s="45">
        <v>10.385753959776604</v>
      </c>
      <c r="CR7" s="33">
        <f t="shared" ref="CR7:CR25" si="21">+(CP7-1)/$CP$25</f>
        <v>0.05</v>
      </c>
      <c r="CS7" s="33">
        <f t="shared" ref="CS7:CS25" si="22">+CP7/$CP$25</f>
        <v>0.1</v>
      </c>
      <c r="CT7" s="45">
        <f t="shared" ref="CT7:CT25" si="23">+(CQ7-$CY$5)/($CY$6-$CY$5)</f>
        <v>3.8575395977660423E-2</v>
      </c>
      <c r="CU7" s="45">
        <f t="shared" ref="CU7:CU25" si="24">+ABS(CR7-CT7)</f>
        <v>1.142460402233958E-2</v>
      </c>
      <c r="CV7" s="45">
        <f t="shared" ref="CV7:CV25" si="25">+ABS(CS7-CT7)</f>
        <v>6.1424604022339582E-2</v>
      </c>
      <c r="CW7" s="8"/>
      <c r="CX7" s="8"/>
      <c r="CY7" s="8"/>
      <c r="CZ7" s="8"/>
      <c r="DA7" s="8"/>
      <c r="DB7" s="9"/>
      <c r="DD7" s="45">
        <v>16.402231646352448</v>
      </c>
      <c r="DE7" s="33">
        <f>1+DE6</f>
        <v>2</v>
      </c>
      <c r="DF7" s="45">
        <v>10.719881553668529</v>
      </c>
      <c r="DG7" s="33">
        <f t="shared" ref="DG7:DG25" si="26">+(DE7-1)/$CP$25</f>
        <v>0.05</v>
      </c>
      <c r="DH7" s="33">
        <f t="shared" ref="DH7:DH25" si="27">+DE7/$CP$25</f>
        <v>0.1</v>
      </c>
      <c r="DI7" s="45">
        <f t="shared" ref="DI7:DI25" si="28">+(DF7-$CY$5)/($CY$6-$CY$5)</f>
        <v>7.198815536685288E-2</v>
      </c>
      <c r="DJ7" s="45">
        <f t="shared" ref="DJ7:DJ25" si="29">+ABS(DG7-DI7)</f>
        <v>2.1988155366852877E-2</v>
      </c>
      <c r="DK7" s="45">
        <f t="shared" ref="DK7:DK25" si="30">+ABS(DH7-DI7)</f>
        <v>2.8011844633147126E-2</v>
      </c>
      <c r="DL7" s="8"/>
      <c r="DM7" s="8"/>
      <c r="DN7" s="8"/>
      <c r="DO7" s="8"/>
      <c r="DP7" s="8"/>
      <c r="DQ7" s="9"/>
      <c r="DS7" s="47">
        <v>2.0006103701895199</v>
      </c>
      <c r="DT7" s="33">
        <f>1+DT6</f>
        <v>2</v>
      </c>
      <c r="DU7" s="47">
        <v>2.0636005737479781</v>
      </c>
      <c r="DV7" s="47">
        <f t="shared" ref="DV7:DV17" si="31">+(DT7-1)/+$DT$17</f>
        <v>8.3333333333333329E-2</v>
      </c>
      <c r="DW7" s="47">
        <f t="shared" ref="DW7:DW17" si="32">+DT7/+$DT$17</f>
        <v>0.16666666666666666</v>
      </c>
      <c r="DX7" s="47">
        <f t="shared" ref="DX7:DX17" si="33">+(DU7-$EC$5)/($EC$6-$EC$5)</f>
        <v>1.5900143436994529E-2</v>
      </c>
      <c r="DY7" s="47">
        <f t="shared" ref="DY7:DY17" si="34">+ABS(DV7-DX7)</f>
        <v>6.7433189896338799E-2</v>
      </c>
      <c r="DZ7" s="47">
        <f t="shared" ref="DZ7:DZ17" si="35">+ABS(DW7-DX7)</f>
        <v>0.15076652322967213</v>
      </c>
      <c r="EA7" s="8"/>
      <c r="EB7" s="8"/>
      <c r="EC7" s="8"/>
      <c r="ED7" s="8"/>
      <c r="EE7" s="8"/>
      <c r="EF7" s="9"/>
      <c r="EH7" s="52">
        <f>1+EH6</f>
        <v>2</v>
      </c>
      <c r="EI7" s="47">
        <v>5.9876259809971089</v>
      </c>
      <c r="EJ7" s="47">
        <v>1.466640368453227</v>
      </c>
      <c r="EK7" s="47">
        <f t="shared" ref="EK7:EK55" si="36">+(EH7-1)/$EH$55</f>
        <v>0.02</v>
      </c>
      <c r="EL7" s="47">
        <f t="shared" ref="EL7:EL55" si="37">+EH7/$EH$55</f>
        <v>0.04</v>
      </c>
      <c r="EM7" s="45">
        <f t="shared" ref="EM7:EM55" si="38">NORMDIST(EJ7,$ER$2,$ER$3,TRUE)</f>
        <v>6.7583220666211702E-3</v>
      </c>
      <c r="EN7" s="45">
        <f t="shared" ref="EN7:EN55" si="39">+ABS(EK7-EM7)</f>
        <v>1.3241677933378829E-2</v>
      </c>
      <c r="EO7" s="45">
        <f t="shared" ref="EO7:EO55" si="40">+ABS(EL7-EM7)</f>
        <v>3.324167793337883E-2</v>
      </c>
      <c r="EP7" s="8"/>
      <c r="EQ7" s="11" t="s">
        <v>9</v>
      </c>
      <c r="ER7" s="7">
        <v>0.01</v>
      </c>
      <c r="ES7" s="7"/>
      <c r="ET7" s="9"/>
      <c r="EV7" s="21">
        <f t="shared" ref="EV7:EV54" si="41">1+EV6</f>
        <v>3</v>
      </c>
      <c r="EW7" s="25">
        <v>4.2056086739466991</v>
      </c>
      <c r="EX7" s="25">
        <v>2.707363945664838</v>
      </c>
      <c r="EY7" s="8">
        <f t="shared" si="8"/>
        <v>7.3298195342858801</v>
      </c>
      <c r="EZ7" s="26" t="s">
        <v>100</v>
      </c>
      <c r="FA7" s="61">
        <v>7</v>
      </c>
      <c r="FB7" s="7">
        <f t="shared" si="9"/>
        <v>0.1</v>
      </c>
      <c r="FC7" s="7">
        <f t="shared" si="10"/>
        <v>5</v>
      </c>
      <c r="FD7" s="25">
        <f t="shared" si="11"/>
        <v>0.8</v>
      </c>
      <c r="FE7" s="8"/>
      <c r="FF7" s="7" t="s">
        <v>8</v>
      </c>
      <c r="FG7" s="7">
        <v>18.475000000000001</v>
      </c>
      <c r="FH7" s="7"/>
      <c r="FI7" s="9"/>
      <c r="FK7" s="66">
        <v>-0.97874135462916456</v>
      </c>
      <c r="FL7" s="8"/>
      <c r="FM7" s="8">
        <v>1</v>
      </c>
      <c r="FN7" s="64">
        <v>-1.357871042273473</v>
      </c>
      <c r="FO7" s="8"/>
      <c r="FP7" s="8" t="s">
        <v>24</v>
      </c>
      <c r="FQ7" s="64">
        <f>+AVERAGE(FN7:FN16)</f>
        <v>-0.33948765576496953</v>
      </c>
      <c r="FR7" s="8"/>
      <c r="FS7" s="8"/>
      <c r="FT7" s="8"/>
      <c r="FU7" s="8"/>
      <c r="FV7" s="9"/>
      <c r="FX7" s="66">
        <v>7</v>
      </c>
      <c r="FY7" s="8"/>
      <c r="FZ7" s="8">
        <v>1</v>
      </c>
      <c r="GA7" s="64">
        <v>-1.357871042273473</v>
      </c>
      <c r="GB7" s="8"/>
      <c r="GC7" s="8" t="s">
        <v>24</v>
      </c>
      <c r="GD7" s="64">
        <f>+AVERAGE(GA7:GA16)</f>
        <v>0.45838647969794694</v>
      </c>
      <c r="GE7" s="8"/>
      <c r="GF7" s="8"/>
      <c r="GG7" s="8"/>
      <c r="GH7" s="8"/>
      <c r="GI7" s="9"/>
      <c r="GK7" s="66">
        <v>14.104425114637706</v>
      </c>
      <c r="GL7" s="8"/>
      <c r="GM7" s="8">
        <v>1</v>
      </c>
      <c r="GN7" s="63">
        <v>6.5766238700598478</v>
      </c>
      <c r="GO7" s="8"/>
      <c r="GP7" s="8" t="s">
        <v>24</v>
      </c>
      <c r="GQ7" s="64">
        <f>+AVERAGE(GN7:GN30)</f>
        <v>15.5231407840256</v>
      </c>
      <c r="GR7" s="8"/>
      <c r="GS7" s="63"/>
      <c r="GT7" s="63"/>
      <c r="GU7" s="63"/>
      <c r="GV7" s="63"/>
      <c r="GW7" s="63"/>
      <c r="GX7" s="65"/>
      <c r="GY7" s="63"/>
      <c r="GZ7" s="21"/>
      <c r="HA7" s="8" t="s">
        <v>307</v>
      </c>
      <c r="HB7" s="8"/>
      <c r="HC7" s="8"/>
      <c r="HD7" s="8"/>
      <c r="HE7" s="8"/>
      <c r="HF7" s="8"/>
      <c r="HG7" s="8"/>
      <c r="HH7" s="8"/>
      <c r="HI7" s="8"/>
      <c r="HJ7" s="8"/>
      <c r="HK7" s="8"/>
      <c r="HL7" s="9"/>
      <c r="HN7" s="21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9"/>
      <c r="IA7" s="8"/>
      <c r="IB7" s="21"/>
      <c r="IC7" s="8" t="s">
        <v>316</v>
      </c>
      <c r="ID7" s="7">
        <v>10</v>
      </c>
      <c r="IE7" s="7">
        <v>6</v>
      </c>
      <c r="IF7" s="7">
        <v>9</v>
      </c>
      <c r="IG7" s="7">
        <v>6</v>
      </c>
      <c r="IH7" s="7">
        <v>6</v>
      </c>
      <c r="II7" s="7">
        <f>SUM(ID7:IH7)</f>
        <v>37</v>
      </c>
      <c r="IJ7" s="9"/>
      <c r="IL7" s="21"/>
      <c r="IM7" s="8" t="s">
        <v>328</v>
      </c>
      <c r="IN7" s="7">
        <v>10</v>
      </c>
      <c r="IO7" s="7">
        <v>60</v>
      </c>
      <c r="IP7" s="7">
        <v>74</v>
      </c>
      <c r="IQ7" s="7">
        <v>40</v>
      </c>
      <c r="IR7" s="7">
        <v>38</v>
      </c>
      <c r="IS7" s="7">
        <f>SUM(IN7:IR7)</f>
        <v>222</v>
      </c>
      <c r="IT7" s="9"/>
      <c r="IV7" s="21"/>
      <c r="IW7" s="7">
        <v>8.5</v>
      </c>
      <c r="IX7" s="7">
        <v>3.2</v>
      </c>
      <c r="IY7" s="7">
        <v>4</v>
      </c>
      <c r="IZ7" s="7">
        <v>4</v>
      </c>
      <c r="JA7" s="7"/>
      <c r="JB7" s="7"/>
      <c r="JC7" s="7">
        <f>+IZ5</f>
        <v>3.2</v>
      </c>
      <c r="JD7" s="10">
        <v>3</v>
      </c>
      <c r="JF7" s="21"/>
      <c r="JG7" s="7">
        <f t="shared" ref="JG7:JG16" si="42">1+JG6</f>
        <v>3</v>
      </c>
      <c r="JH7" s="7">
        <v>8</v>
      </c>
      <c r="JI7" s="7">
        <v>7</v>
      </c>
      <c r="JJ7" s="7">
        <f t="shared" si="12"/>
        <v>1</v>
      </c>
      <c r="JK7" s="7">
        <v>1</v>
      </c>
      <c r="JL7" s="7"/>
      <c r="JM7" s="10"/>
      <c r="JN7" s="7"/>
      <c r="JO7" s="6"/>
      <c r="JP7" s="7">
        <f t="shared" ref="JP7:JP29" si="43">1+JP6</f>
        <v>3</v>
      </c>
      <c r="JQ7" s="7">
        <v>25</v>
      </c>
      <c r="JR7" s="7">
        <v>23</v>
      </c>
      <c r="JS7" s="7">
        <f t="shared" si="13"/>
        <v>2</v>
      </c>
      <c r="JT7" s="7">
        <v>6</v>
      </c>
      <c r="JU7" s="8"/>
      <c r="JV7" s="9"/>
    </row>
    <row r="8" spans="2:282" ht="16.5" x14ac:dyDescent="0.35">
      <c r="B8" s="6"/>
      <c r="C8" s="7">
        <v>4</v>
      </c>
      <c r="D8" s="7">
        <f>+D20</f>
        <v>4</v>
      </c>
      <c r="E8" s="7">
        <f>POISSON(C8,$E$27,FALSE)</f>
        <v>0.16388893428304596</v>
      </c>
      <c r="F8" s="7">
        <f>+E8*$D$25</f>
        <v>6.8833352398879306</v>
      </c>
      <c r="G8" s="7">
        <f>+(D8-F8)^2/F8</f>
        <v>1.2077898018686282</v>
      </c>
      <c r="H8" s="8"/>
      <c r="I8" s="7" t="s">
        <v>231</v>
      </c>
      <c r="J8" s="7">
        <f>+J7</f>
        <v>7.8150000000000004</v>
      </c>
      <c r="K8" s="12" t="s">
        <v>11</v>
      </c>
      <c r="M8" s="6"/>
      <c r="N8" s="92">
        <v>4</v>
      </c>
      <c r="O8" s="92">
        <f>+O20</f>
        <v>5</v>
      </c>
      <c r="P8" s="92">
        <f t="shared" si="14"/>
        <v>0.19364835173164541</v>
      </c>
      <c r="Q8" s="92">
        <f t="shared" si="2"/>
        <v>9.6824175865822699</v>
      </c>
      <c r="R8" s="92">
        <f>+(O8-Q8)^2/Q8</f>
        <v>2.2644173584826865</v>
      </c>
      <c r="S8" s="8"/>
      <c r="T8" s="92" t="s">
        <v>231</v>
      </c>
      <c r="U8" s="92">
        <f>+U7</f>
        <v>7.8150000000000004</v>
      </c>
      <c r="V8" s="12" t="s">
        <v>11</v>
      </c>
      <c r="X8" s="21"/>
      <c r="Y8" s="7" t="s">
        <v>241</v>
      </c>
      <c r="Z8" s="7">
        <v>3</v>
      </c>
      <c r="AA8" s="7">
        <f>1/5</f>
        <v>0.2</v>
      </c>
      <c r="AB8" s="7">
        <f t="shared" si="0"/>
        <v>20</v>
      </c>
      <c r="AC8" s="7">
        <f>+(Z8-AB8)^2/AB8</f>
        <v>14.45</v>
      </c>
      <c r="AD8" s="7"/>
      <c r="AE8" s="91" t="s">
        <v>231</v>
      </c>
      <c r="AF8" s="7">
        <f>+AF7</f>
        <v>9.4879999999999995</v>
      </c>
      <c r="AG8" s="13" t="s">
        <v>11</v>
      </c>
      <c r="AH8" s="8"/>
      <c r="AI8" s="9"/>
      <c r="AK8" s="21"/>
      <c r="AL8" s="7" t="s">
        <v>257</v>
      </c>
      <c r="AM8" s="7">
        <f>+SUM(AM19:AM21)</f>
        <v>11</v>
      </c>
      <c r="AN8" s="7">
        <f>BINOMDIST(2,$AM$4,$AN$32,TRUE)</f>
        <v>0.21853345986524383</v>
      </c>
      <c r="AO8" s="7">
        <f t="shared" ref="AO8:AO13" si="44">+AN8*$AM$14</f>
        <v>8.3042714748792665</v>
      </c>
      <c r="AP8" s="7">
        <f t="shared" ref="AP8:AP13" si="45">+(AM8-AO8)^2/AO8</f>
        <v>0.87508606903476227</v>
      </c>
      <c r="AQ8" s="8"/>
      <c r="AR8" s="7" t="s">
        <v>231</v>
      </c>
      <c r="AS8" s="7">
        <f>+AS7</f>
        <v>13.276999999999999</v>
      </c>
      <c r="AT8" s="13" t="s">
        <v>11</v>
      </c>
      <c r="AU8" s="9"/>
      <c r="AW8" s="21">
        <f t="shared" si="15"/>
        <v>4</v>
      </c>
      <c r="AX8" s="25">
        <v>5.5147919662485947</v>
      </c>
      <c r="AY8" s="25">
        <v>3.7393008521175943</v>
      </c>
      <c r="AZ8" s="8">
        <f t="shared" si="3"/>
        <v>13.982370862647366</v>
      </c>
      <c r="BA8" s="7" t="s">
        <v>40</v>
      </c>
      <c r="BB8" s="25">
        <f>COUNTIF($AY$5:$AY$34,"&lt;=6,75")-BB7-BB6-BB5</f>
        <v>4</v>
      </c>
      <c r="BC8" s="8">
        <v>0.2</v>
      </c>
      <c r="BD8" s="8">
        <f>+BC8*$AZ$37</f>
        <v>6</v>
      </c>
      <c r="BE8" s="27">
        <f>+(BB8-BD8)^2/BD8</f>
        <v>0.66666666666666663</v>
      </c>
      <c r="BF8" s="8"/>
      <c r="BG8" s="7" t="s">
        <v>231</v>
      </c>
      <c r="BH8" s="7">
        <f>+BH7</f>
        <v>9.2100000000000009</v>
      </c>
      <c r="BI8" s="13" t="s">
        <v>11</v>
      </c>
      <c r="BJ8" s="9"/>
      <c r="BK8" s="8"/>
      <c r="BL8" s="21">
        <f t="shared" si="16"/>
        <v>4</v>
      </c>
      <c r="BM8" s="25">
        <v>5.5147919662485947</v>
      </c>
      <c r="BN8" s="25">
        <v>3.7393008521175943</v>
      </c>
      <c r="BO8" s="8">
        <f t="shared" si="4"/>
        <v>13.982370862647366</v>
      </c>
      <c r="BP8" s="7" t="s">
        <v>85</v>
      </c>
      <c r="BQ8" s="25">
        <v>4</v>
      </c>
      <c r="BR8" s="8">
        <f t="shared" si="5"/>
        <v>0.125</v>
      </c>
      <c r="BS8" s="8">
        <f t="shared" si="6"/>
        <v>3.75</v>
      </c>
      <c r="BT8" s="7">
        <f t="shared" si="1"/>
        <v>1.6666666666666666E-2</v>
      </c>
      <c r="BU8" s="8"/>
      <c r="BV8" s="7" t="s">
        <v>231</v>
      </c>
      <c r="BW8" s="7">
        <f>+BW7</f>
        <v>15.086</v>
      </c>
      <c r="BX8" s="13" t="s">
        <v>11</v>
      </c>
      <c r="BY8" s="9"/>
      <c r="BZ8" s="8"/>
      <c r="CA8" s="52">
        <f t="shared" ref="CA8:CA35" si="46">1+CA7</f>
        <v>3</v>
      </c>
      <c r="CB8" s="53">
        <v>5.5374287209415343</v>
      </c>
      <c r="CC8" s="53">
        <v>3.7312631926906761</v>
      </c>
      <c r="CD8" s="54">
        <f t="shared" si="17"/>
        <v>6.6666666666666666E-2</v>
      </c>
      <c r="CE8" s="54">
        <f t="shared" si="18"/>
        <v>0.1</v>
      </c>
      <c r="CF8" s="52">
        <f t="shared" si="7"/>
        <v>0.14556428985913919</v>
      </c>
      <c r="CG8" s="54">
        <f t="shared" si="19"/>
        <v>7.8897623192472524E-2</v>
      </c>
      <c r="CH8" s="54">
        <f t="shared" si="20"/>
        <v>4.5564289859139184E-2</v>
      </c>
      <c r="CI8" s="8"/>
      <c r="CJ8" s="7" t="s">
        <v>7</v>
      </c>
      <c r="CK8" s="7">
        <v>30</v>
      </c>
      <c r="CL8" s="7"/>
      <c r="CM8" s="9"/>
      <c r="CO8" s="45">
        <v>15.444196905423139</v>
      </c>
      <c r="CP8" s="33">
        <f t="shared" ref="CP8:CP25" si="47">1+CP7</f>
        <v>3</v>
      </c>
      <c r="CQ8" s="45">
        <v>12.081057161168248</v>
      </c>
      <c r="CR8" s="33">
        <f t="shared" si="21"/>
        <v>0.1</v>
      </c>
      <c r="CS8" s="33">
        <f t="shared" si="22"/>
        <v>0.15</v>
      </c>
      <c r="CT8" s="45">
        <f t="shared" si="23"/>
        <v>0.2081057161168248</v>
      </c>
      <c r="CU8" s="45">
        <f t="shared" si="24"/>
        <v>0.10810571611682479</v>
      </c>
      <c r="CV8" s="45">
        <f t="shared" si="25"/>
        <v>5.8105716116824802E-2</v>
      </c>
      <c r="CW8" s="8"/>
      <c r="CX8" s="7" t="s">
        <v>14</v>
      </c>
      <c r="CY8" s="14" t="s">
        <v>281</v>
      </c>
      <c r="CZ8" s="7"/>
      <c r="DA8" s="8"/>
      <c r="DB8" s="9"/>
      <c r="DD8" s="45">
        <v>12.869722392351832</v>
      </c>
      <c r="DE8" s="33">
        <f t="shared" ref="DE8:DE25" si="48">1+DE7</f>
        <v>3</v>
      </c>
      <c r="DF8" s="45">
        <v>12.282720869407058</v>
      </c>
      <c r="DG8" s="33">
        <f t="shared" si="26"/>
        <v>0.1</v>
      </c>
      <c r="DH8" s="33">
        <f t="shared" si="27"/>
        <v>0.15</v>
      </c>
      <c r="DI8" s="45">
        <f t="shared" si="28"/>
        <v>0.22827208694070578</v>
      </c>
      <c r="DJ8" s="45">
        <f t="shared" si="29"/>
        <v>0.12827208694070577</v>
      </c>
      <c r="DK8" s="45">
        <f t="shared" si="30"/>
        <v>7.8272086940705782E-2</v>
      </c>
      <c r="DL8" s="8"/>
      <c r="DM8" s="7" t="s">
        <v>14</v>
      </c>
      <c r="DN8" s="14" t="s">
        <v>281</v>
      </c>
      <c r="DO8" s="7"/>
      <c r="DP8" s="8"/>
      <c r="DQ8" s="9"/>
      <c r="DS8" s="47">
        <v>5.5721304971465191</v>
      </c>
      <c r="DT8" s="33">
        <f t="shared" ref="DT8:DT17" si="49">1+DT7</f>
        <v>3</v>
      </c>
      <c r="DU8" s="47">
        <v>2.4870754112369151</v>
      </c>
      <c r="DV8" s="47">
        <f t="shared" si="31"/>
        <v>0.16666666666666666</v>
      </c>
      <c r="DW8" s="47">
        <f t="shared" si="32"/>
        <v>0.25</v>
      </c>
      <c r="DX8" s="47">
        <f t="shared" si="33"/>
        <v>0.12176885280922878</v>
      </c>
      <c r="DY8" s="47">
        <f t="shared" si="34"/>
        <v>4.4897813857437879E-2</v>
      </c>
      <c r="DZ8" s="47">
        <f t="shared" si="35"/>
        <v>0.12823114719077122</v>
      </c>
      <c r="EA8" s="8"/>
      <c r="EB8" s="7" t="s">
        <v>14</v>
      </c>
      <c r="EC8" s="14" t="s">
        <v>287</v>
      </c>
      <c r="ED8" s="7"/>
      <c r="EE8" s="8"/>
      <c r="EF8" s="9"/>
      <c r="EH8" s="52">
        <f t="shared" ref="EH8:EH55" si="50">1+EH7</f>
        <v>3</v>
      </c>
      <c r="EI8" s="47">
        <v>4.2056086739466991</v>
      </c>
      <c r="EJ8" s="47">
        <v>2.707363945664838</v>
      </c>
      <c r="EK8" s="47">
        <f t="shared" si="36"/>
        <v>0.04</v>
      </c>
      <c r="EL8" s="47">
        <f t="shared" si="37"/>
        <v>0.06</v>
      </c>
      <c r="EM8" s="45">
        <f t="shared" si="38"/>
        <v>5.0151540060359892E-2</v>
      </c>
      <c r="EN8" s="45">
        <f t="shared" si="39"/>
        <v>1.0151540060359891E-2</v>
      </c>
      <c r="EO8" s="45">
        <f t="shared" si="40"/>
        <v>9.8484599396401057E-3</v>
      </c>
      <c r="EP8" s="8"/>
      <c r="EQ8" s="7" t="s">
        <v>7</v>
      </c>
      <c r="ER8" s="7">
        <v>50</v>
      </c>
      <c r="ES8" s="7"/>
      <c r="ET8" s="9"/>
      <c r="EV8" s="21">
        <f t="shared" si="41"/>
        <v>4</v>
      </c>
      <c r="EW8" s="25">
        <v>6.0491822877156665</v>
      </c>
      <c r="EX8" s="25">
        <v>2.7594711708661634</v>
      </c>
      <c r="EY8" s="8">
        <f t="shared" si="8"/>
        <v>7.6146811428414747</v>
      </c>
      <c r="EZ8" s="7" t="s">
        <v>101</v>
      </c>
      <c r="FA8" s="61">
        <v>6</v>
      </c>
      <c r="FB8" s="7">
        <f t="shared" si="9"/>
        <v>0.1</v>
      </c>
      <c r="FC8" s="7">
        <f t="shared" si="10"/>
        <v>5</v>
      </c>
      <c r="FD8" s="25">
        <f t="shared" si="11"/>
        <v>0.2</v>
      </c>
      <c r="FE8" s="8"/>
      <c r="FF8" s="7" t="s">
        <v>231</v>
      </c>
      <c r="FG8" s="7">
        <f>+FG7</f>
        <v>18.475000000000001</v>
      </c>
      <c r="FH8" s="13" t="s">
        <v>11</v>
      </c>
      <c r="FI8" s="9"/>
      <c r="FK8" s="66">
        <v>-1.357871042273473</v>
      </c>
      <c r="FL8" s="8"/>
      <c r="FM8" s="8">
        <f>1+FM7</f>
        <v>2</v>
      </c>
      <c r="FN8" s="64">
        <v>-1.2471355148591101</v>
      </c>
      <c r="FO8" s="8"/>
      <c r="FP8" s="8" t="s">
        <v>108</v>
      </c>
      <c r="FQ8" s="8">
        <f>VARP(FN7:FN16)</f>
        <v>0.77289514514018476</v>
      </c>
      <c r="FR8" s="8"/>
      <c r="FS8" s="8"/>
      <c r="FT8" s="8"/>
      <c r="FU8" s="8"/>
      <c r="FV8" s="9"/>
      <c r="FX8" s="66">
        <v>-1.357871042273473</v>
      </c>
      <c r="FY8" s="8"/>
      <c r="FZ8" s="8">
        <f>1+FZ7</f>
        <v>2</v>
      </c>
      <c r="GA8" s="64">
        <v>-1.2471355148591101</v>
      </c>
      <c r="GB8" s="8"/>
      <c r="GC8" s="8" t="s">
        <v>108</v>
      </c>
      <c r="GD8" s="8">
        <f>VARP(GA7:GA16)</f>
        <v>5.4822353848609691</v>
      </c>
      <c r="GE8" s="8"/>
      <c r="GF8" s="8"/>
      <c r="GG8" s="8"/>
      <c r="GH8" s="8"/>
      <c r="GI8" s="9"/>
      <c r="GK8" s="66">
        <v>18.331469997647218</v>
      </c>
      <c r="GL8" s="8"/>
      <c r="GM8" s="8">
        <f t="shared" ref="GM8:GM21" si="51">1+GM7</f>
        <v>2</v>
      </c>
      <c r="GN8" s="63">
        <v>10.263215168961324</v>
      </c>
      <c r="GO8" s="8"/>
      <c r="GP8" s="8" t="s">
        <v>108</v>
      </c>
      <c r="GQ8" s="8">
        <f>VARP(GN7:GN30)</f>
        <v>12.879234219664998</v>
      </c>
      <c r="GR8" s="8"/>
      <c r="GS8" s="63"/>
      <c r="GT8" s="63"/>
      <c r="GU8" s="63"/>
      <c r="GV8" s="63"/>
      <c r="GW8" s="63"/>
      <c r="GX8" s="65"/>
      <c r="GY8" s="63"/>
      <c r="GZ8" s="21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9"/>
      <c r="HN8" s="21"/>
      <c r="HO8" s="8" t="s">
        <v>312</v>
      </c>
      <c r="HP8" s="93" t="s">
        <v>154</v>
      </c>
      <c r="HQ8" s="93" t="s">
        <v>154</v>
      </c>
      <c r="HR8" s="93" t="s">
        <v>154</v>
      </c>
      <c r="HS8" s="93" t="s">
        <v>154</v>
      </c>
      <c r="HT8" s="93" t="s">
        <v>155</v>
      </c>
      <c r="HU8" s="93" t="s">
        <v>155</v>
      </c>
      <c r="HV8" s="93" t="s">
        <v>155</v>
      </c>
      <c r="HW8" s="93" t="s">
        <v>155</v>
      </c>
      <c r="HX8" s="93" t="s">
        <v>154</v>
      </c>
      <c r="HY8" s="19" t="s">
        <v>155</v>
      </c>
      <c r="HZ8" s="9"/>
      <c r="IA8" s="8"/>
      <c r="IB8" s="21"/>
      <c r="IC8" s="8" t="s">
        <v>185</v>
      </c>
      <c r="ID8" s="7">
        <f>SUM(ID6:ID7)</f>
        <v>12</v>
      </c>
      <c r="IE8" s="7">
        <f t="shared" ref="IE8:IH8" si="52">SUM(IE6:IE7)</f>
        <v>10</v>
      </c>
      <c r="IF8" s="7">
        <f t="shared" si="52"/>
        <v>10</v>
      </c>
      <c r="IG8" s="7">
        <f t="shared" si="52"/>
        <v>8</v>
      </c>
      <c r="IH8" s="7">
        <f t="shared" si="52"/>
        <v>6</v>
      </c>
      <c r="II8" s="7">
        <f>+II7+II6</f>
        <v>46</v>
      </c>
      <c r="IJ8" s="9"/>
      <c r="IL8" s="21"/>
      <c r="IM8" s="8" t="s">
        <v>185</v>
      </c>
      <c r="IN8" s="7">
        <f>SUM(IN6:IN7)</f>
        <v>90</v>
      </c>
      <c r="IO8" s="7">
        <f t="shared" ref="IO8" si="53">SUM(IO6:IO7)</f>
        <v>100</v>
      </c>
      <c r="IP8" s="7">
        <f t="shared" ref="IP8" si="54">SUM(IP6:IP7)</f>
        <v>104</v>
      </c>
      <c r="IQ8" s="7">
        <f t="shared" ref="IQ8" si="55">SUM(IQ6:IQ7)</f>
        <v>115</v>
      </c>
      <c r="IR8" s="7">
        <f t="shared" ref="IR8" si="56">SUM(IR6:IR7)</f>
        <v>40</v>
      </c>
      <c r="IS8" s="7">
        <f>+IS7+IS6</f>
        <v>449</v>
      </c>
      <c r="IT8" s="9"/>
      <c r="IV8" s="21"/>
      <c r="IW8" s="7">
        <v>4</v>
      </c>
      <c r="IX8" s="7">
        <v>4</v>
      </c>
      <c r="IY8" s="7">
        <v>5</v>
      </c>
      <c r="IZ8" s="7">
        <v>4.5</v>
      </c>
      <c r="JA8" s="7">
        <v>4</v>
      </c>
      <c r="JB8" s="7">
        <v>5</v>
      </c>
      <c r="JC8" s="7">
        <v>4</v>
      </c>
      <c r="JD8" s="10">
        <v>5</v>
      </c>
      <c r="JF8" s="21"/>
      <c r="JG8" s="7">
        <f t="shared" si="42"/>
        <v>4</v>
      </c>
      <c r="JH8" s="7">
        <v>6</v>
      </c>
      <c r="JI8" s="7">
        <v>8</v>
      </c>
      <c r="JJ8" s="7">
        <f t="shared" si="12"/>
        <v>-2</v>
      </c>
      <c r="JK8" s="7"/>
      <c r="JL8" s="7">
        <v>2.5</v>
      </c>
      <c r="JM8" s="10"/>
      <c r="JN8" s="7"/>
      <c r="JO8" s="6"/>
      <c r="JP8" s="7">
        <f t="shared" si="43"/>
        <v>4</v>
      </c>
      <c r="JQ8" s="7">
        <v>23</v>
      </c>
      <c r="JR8" s="7">
        <v>26</v>
      </c>
      <c r="JS8" s="7">
        <f t="shared" si="13"/>
        <v>-3</v>
      </c>
      <c r="JT8" s="7"/>
      <c r="JU8" s="8">
        <v>10</v>
      </c>
      <c r="JV8" s="9"/>
    </row>
    <row r="9" spans="2:282" ht="16.5" x14ac:dyDescent="0.35">
      <c r="B9" s="6"/>
      <c r="C9" s="7" t="s">
        <v>227</v>
      </c>
      <c r="D9" s="7">
        <f>+SUM(D21:D24)</f>
        <v>8</v>
      </c>
      <c r="E9" s="7">
        <f>1-POISSON(C8,$E$27,TRUE)</f>
        <v>0.1728807802630723</v>
      </c>
      <c r="F9" s="7">
        <f>+E9*$D$25</f>
        <v>7.2609927710490361</v>
      </c>
      <c r="G9" s="7">
        <f>+(D9-F9)^2/F9</f>
        <v>7.5214464696799266E-2</v>
      </c>
      <c r="H9" s="8"/>
      <c r="I9" s="7" t="s">
        <v>232</v>
      </c>
      <c r="J9" s="13">
        <v>0</v>
      </c>
      <c r="K9" s="10">
        <f>+J8</f>
        <v>7.8150000000000004</v>
      </c>
      <c r="M9" s="6"/>
      <c r="N9" s="92" t="s">
        <v>227</v>
      </c>
      <c r="O9" s="92">
        <f>+SUM(O21:O24)</f>
        <v>17</v>
      </c>
      <c r="P9" s="92">
        <f>1-POISSON(N8,$P$27,TRUE)</f>
        <v>0.3205152163348628</v>
      </c>
      <c r="Q9" s="92">
        <f t="shared" si="2"/>
        <v>16.025760816743141</v>
      </c>
      <c r="R9" s="92">
        <f>+(O9-Q9)^2/Q9</f>
        <v>5.9226017226050372E-2</v>
      </c>
      <c r="S9" s="8"/>
      <c r="T9" s="92" t="s">
        <v>232</v>
      </c>
      <c r="U9" s="13">
        <v>0</v>
      </c>
      <c r="V9" s="10">
        <f>+U8</f>
        <v>7.8150000000000004</v>
      </c>
      <c r="X9" s="21"/>
      <c r="Y9" s="7" t="s">
        <v>7</v>
      </c>
      <c r="Z9" s="7">
        <f>SUM(Z4:Z8)</f>
        <v>100</v>
      </c>
      <c r="AA9" s="7">
        <f>SUM(AA4:AA8)</f>
        <v>1</v>
      </c>
      <c r="AB9" s="7">
        <f t="shared" si="0"/>
        <v>100</v>
      </c>
      <c r="AC9" s="19">
        <f>SUM(AC4:AC8)</f>
        <v>76.7</v>
      </c>
      <c r="AD9" s="7"/>
      <c r="AE9" s="91" t="s">
        <v>232</v>
      </c>
      <c r="AF9" s="13">
        <v>0</v>
      </c>
      <c r="AG9" s="7">
        <f>+AF8</f>
        <v>9.4879999999999995</v>
      </c>
      <c r="AH9" s="8"/>
      <c r="AI9" s="9"/>
      <c r="AK9" s="21"/>
      <c r="AL9" s="7">
        <v>3</v>
      </c>
      <c r="AM9" s="7">
        <f>+AM22</f>
        <v>7</v>
      </c>
      <c r="AN9" s="7">
        <f>BINOMDIST(AL9,$AM$4,$AN$32,FALSE)</f>
        <v>0.23866455469616019</v>
      </c>
      <c r="AO9" s="7">
        <f t="shared" si="44"/>
        <v>9.0692530784540875</v>
      </c>
      <c r="AP9" s="7">
        <f t="shared" si="45"/>
        <v>0.47212358786900005</v>
      </c>
      <c r="AQ9" s="8"/>
      <c r="AR9" s="7" t="s">
        <v>232</v>
      </c>
      <c r="AS9" s="13">
        <v>0</v>
      </c>
      <c r="AT9" s="7">
        <f>+AS8</f>
        <v>13.276999999999999</v>
      </c>
      <c r="AU9" s="9"/>
      <c r="AW9" s="21">
        <f t="shared" si="15"/>
        <v>5</v>
      </c>
      <c r="AX9" s="25">
        <v>6.8121219252643641</v>
      </c>
      <c r="AY9" s="25">
        <v>4.1189210984666715</v>
      </c>
      <c r="AZ9" s="8">
        <f t="shared" si="3"/>
        <v>16.965511015393894</v>
      </c>
      <c r="BA9" s="7" t="s">
        <v>41</v>
      </c>
      <c r="BB9" s="25">
        <f>COUNTIF($AY$5:$AY$34,"&lt;=10")-BB8-BB7-BB6-BB5</f>
        <v>7</v>
      </c>
      <c r="BC9" s="8">
        <v>0.2</v>
      </c>
      <c r="BD9" s="8">
        <f>+BC9*$AZ$37</f>
        <v>6</v>
      </c>
      <c r="BE9" s="27">
        <f>+(BB9-BD9)^2/BD9</f>
        <v>0.16666666666666666</v>
      </c>
      <c r="BF9" s="8"/>
      <c r="BG9" s="7" t="s">
        <v>232</v>
      </c>
      <c r="BH9" s="13">
        <v>0</v>
      </c>
      <c r="BI9" s="7">
        <f>+BH8</f>
        <v>9.2100000000000009</v>
      </c>
      <c r="BJ9" s="9"/>
      <c r="BK9" s="8"/>
      <c r="BL9" s="21">
        <f t="shared" si="16"/>
        <v>5</v>
      </c>
      <c r="BM9" s="25">
        <v>6.8121219252643641</v>
      </c>
      <c r="BN9" s="25">
        <v>4.1189210984666715</v>
      </c>
      <c r="BO9" s="8">
        <f t="shared" si="4"/>
        <v>16.965511015393894</v>
      </c>
      <c r="BP9" s="7" t="s">
        <v>86</v>
      </c>
      <c r="BQ9" s="25">
        <v>3</v>
      </c>
      <c r="BR9" s="8">
        <f t="shared" si="5"/>
        <v>0.125</v>
      </c>
      <c r="BS9" s="8">
        <f t="shared" si="6"/>
        <v>3.75</v>
      </c>
      <c r="BT9" s="7">
        <f t="shared" si="1"/>
        <v>0.15</v>
      </c>
      <c r="BU9" s="8"/>
      <c r="BV9" s="7" t="s">
        <v>232</v>
      </c>
      <c r="BW9" s="13">
        <v>0</v>
      </c>
      <c r="BX9" s="7">
        <f>+BW8</f>
        <v>15.086</v>
      </c>
      <c r="BY9" s="9"/>
      <c r="BZ9" s="8"/>
      <c r="CA9" s="52">
        <f t="shared" si="46"/>
        <v>4</v>
      </c>
      <c r="CB9" s="53">
        <v>5.5147919662485947</v>
      </c>
      <c r="CC9" s="53">
        <v>3.7393008521175943</v>
      </c>
      <c r="CD9" s="54">
        <f t="shared" si="17"/>
        <v>0.1</v>
      </c>
      <c r="CE9" s="54">
        <f t="shared" si="18"/>
        <v>0.13333333333333333</v>
      </c>
      <c r="CF9" s="52">
        <f t="shared" si="7"/>
        <v>0.1467212865177161</v>
      </c>
      <c r="CG9" s="54">
        <f t="shared" si="19"/>
        <v>4.6721286517716093E-2</v>
      </c>
      <c r="CH9" s="54">
        <f t="shared" si="20"/>
        <v>1.3387953184382767E-2</v>
      </c>
      <c r="CI9" s="8"/>
      <c r="CJ9" s="7" t="s">
        <v>8</v>
      </c>
      <c r="CK9" s="7">
        <v>0.185</v>
      </c>
      <c r="CL9" s="7"/>
      <c r="CM9" s="9"/>
      <c r="CO9" s="45">
        <v>12.081057161168248</v>
      </c>
      <c r="CP9" s="33">
        <f t="shared" si="47"/>
        <v>4</v>
      </c>
      <c r="CQ9" s="45">
        <v>12.316049684133427</v>
      </c>
      <c r="CR9" s="33">
        <f t="shared" si="21"/>
        <v>0.15</v>
      </c>
      <c r="CS9" s="33">
        <f t="shared" si="22"/>
        <v>0.2</v>
      </c>
      <c r="CT9" s="45">
        <f t="shared" si="23"/>
        <v>0.23160496841334269</v>
      </c>
      <c r="CU9" s="45">
        <f t="shared" si="24"/>
        <v>8.1604968413342693E-2</v>
      </c>
      <c r="CV9" s="45">
        <f t="shared" si="25"/>
        <v>3.1604968413342677E-2</v>
      </c>
      <c r="CW9" s="8"/>
      <c r="CX9" s="7" t="s">
        <v>15</v>
      </c>
      <c r="CY9" s="14" t="s">
        <v>282</v>
      </c>
      <c r="CZ9" s="7"/>
      <c r="DA9" s="8"/>
      <c r="DB9" s="9"/>
      <c r="DD9" s="45">
        <v>16.090477326215478</v>
      </c>
      <c r="DE9" s="33">
        <f t="shared" si="48"/>
        <v>4</v>
      </c>
      <c r="DF9" s="45">
        <v>12.869722392351832</v>
      </c>
      <c r="DG9" s="33">
        <f t="shared" si="26"/>
        <v>0.15</v>
      </c>
      <c r="DH9" s="33">
        <f t="shared" si="27"/>
        <v>0.2</v>
      </c>
      <c r="DI9" s="45">
        <f t="shared" si="28"/>
        <v>0.28697223923518322</v>
      </c>
      <c r="DJ9" s="45">
        <f t="shared" si="29"/>
        <v>0.13697223923518323</v>
      </c>
      <c r="DK9" s="45">
        <f t="shared" si="30"/>
        <v>8.6972239235183213E-2</v>
      </c>
      <c r="DL9" s="8"/>
      <c r="DM9" s="7" t="s">
        <v>15</v>
      </c>
      <c r="DN9" s="14" t="s">
        <v>282</v>
      </c>
      <c r="DO9" s="7"/>
      <c r="DP9" s="8"/>
      <c r="DQ9" s="9"/>
      <c r="DS9" s="47">
        <v>4.6944181646168399</v>
      </c>
      <c r="DT9" s="33">
        <f t="shared" si="49"/>
        <v>4</v>
      </c>
      <c r="DU9" s="47">
        <v>2.6187932981353192</v>
      </c>
      <c r="DV9" s="47">
        <f t="shared" si="31"/>
        <v>0.25</v>
      </c>
      <c r="DW9" s="47">
        <f t="shared" si="32"/>
        <v>0.33333333333333331</v>
      </c>
      <c r="DX9" s="47">
        <f t="shared" si="33"/>
        <v>0.15469832453382981</v>
      </c>
      <c r="DY9" s="47">
        <f t="shared" si="34"/>
        <v>9.5301675466170188E-2</v>
      </c>
      <c r="DZ9" s="47">
        <f t="shared" si="35"/>
        <v>0.1786350087995035</v>
      </c>
      <c r="EA9" s="8"/>
      <c r="EB9" s="7" t="s">
        <v>15</v>
      </c>
      <c r="EC9" s="14" t="s">
        <v>288</v>
      </c>
      <c r="ED9" s="7"/>
      <c r="EE9" s="8"/>
      <c r="EF9" s="9"/>
      <c r="EH9" s="52">
        <f t="shared" si="50"/>
        <v>4</v>
      </c>
      <c r="EI9" s="47">
        <v>6.0491822877156665</v>
      </c>
      <c r="EJ9" s="47">
        <v>2.7594711708661634</v>
      </c>
      <c r="EK9" s="47">
        <f t="shared" si="36"/>
        <v>0.06</v>
      </c>
      <c r="EL9" s="47">
        <f t="shared" si="37"/>
        <v>0.08</v>
      </c>
      <c r="EM9" s="45">
        <f t="shared" si="38"/>
        <v>5.3843567009160272E-2</v>
      </c>
      <c r="EN9" s="45">
        <f t="shared" si="39"/>
        <v>6.1564329908397261E-3</v>
      </c>
      <c r="EO9" s="45">
        <f t="shared" si="40"/>
        <v>2.615643299083973E-2</v>
      </c>
      <c r="EP9" s="8"/>
      <c r="EQ9" s="7" t="s">
        <v>8</v>
      </c>
      <c r="ER9" s="27">
        <f>1.04/(SQRT(ER8))</f>
        <v>0.14707821048680189</v>
      </c>
      <c r="ES9" s="7"/>
      <c r="ET9" s="9"/>
      <c r="EV9" s="21">
        <f t="shared" si="41"/>
        <v>5</v>
      </c>
      <c r="EW9" s="25">
        <v>4.2831249073788058</v>
      </c>
      <c r="EX9" s="25">
        <v>3.4453404522355413</v>
      </c>
      <c r="EY9" s="8">
        <f t="shared" si="8"/>
        <v>11.870370831810604</v>
      </c>
      <c r="EZ9" s="7" t="s">
        <v>102</v>
      </c>
      <c r="FA9" s="61">
        <v>7</v>
      </c>
      <c r="FB9" s="7">
        <f t="shared" si="9"/>
        <v>0.1</v>
      </c>
      <c r="FC9" s="7">
        <f t="shared" si="10"/>
        <v>5</v>
      </c>
      <c r="FD9" s="25">
        <f t="shared" si="11"/>
        <v>0.8</v>
      </c>
      <c r="FE9" s="8"/>
      <c r="FF9" s="7" t="s">
        <v>232</v>
      </c>
      <c r="FG9" s="13">
        <v>0</v>
      </c>
      <c r="FH9" s="7">
        <f>+FG8</f>
        <v>18.475000000000001</v>
      </c>
      <c r="FI9" s="9"/>
      <c r="FK9" s="66">
        <v>0.79210849435185082</v>
      </c>
      <c r="FL9" s="8"/>
      <c r="FM9" s="8">
        <f t="shared" ref="FM9:FM16" si="57">1+FM8</f>
        <v>3</v>
      </c>
      <c r="FN9" s="64">
        <v>-0.97874135462916456</v>
      </c>
      <c r="FO9" s="8"/>
      <c r="FP9" s="8" t="s">
        <v>109</v>
      </c>
      <c r="FQ9" s="8">
        <f>10*FQ8</f>
        <v>7.7289514514018478</v>
      </c>
      <c r="FR9" s="8"/>
      <c r="FS9" s="8"/>
      <c r="FT9" s="8"/>
      <c r="FU9" s="8"/>
      <c r="FV9" s="9"/>
      <c r="FX9" s="66">
        <v>0.79210849435185082</v>
      </c>
      <c r="FY9" s="8"/>
      <c r="FZ9" s="8">
        <f t="shared" ref="FZ9:FZ16" si="58">1+FZ8</f>
        <v>3</v>
      </c>
      <c r="GA9" s="64">
        <v>-0.84068460637354292</v>
      </c>
      <c r="GB9" s="8"/>
      <c r="GC9" s="8" t="s">
        <v>109</v>
      </c>
      <c r="GD9" s="8">
        <f>10*GD8</f>
        <v>54.822353848609694</v>
      </c>
      <c r="GE9" s="8"/>
      <c r="GF9" s="8"/>
      <c r="GG9" s="8"/>
      <c r="GH9" s="8"/>
      <c r="GI9" s="9"/>
      <c r="GK9" s="66">
        <v>14.357260094257072</v>
      </c>
      <c r="GL9" s="8"/>
      <c r="GM9" s="8">
        <f t="shared" si="51"/>
        <v>3</v>
      </c>
      <c r="GN9" s="63">
        <v>11.055785231874324</v>
      </c>
      <c r="GO9" s="8"/>
      <c r="GP9" s="8" t="s">
        <v>109</v>
      </c>
      <c r="GQ9" s="8">
        <f>+GK35*GQ8</f>
        <v>309.10162127195997</v>
      </c>
      <c r="GR9" s="8"/>
      <c r="GS9" s="8"/>
      <c r="GT9" s="8"/>
      <c r="GU9" s="8"/>
      <c r="GV9" s="8"/>
      <c r="GW9" s="8"/>
      <c r="GX9" s="9"/>
      <c r="GZ9" s="21"/>
      <c r="HA9" s="8" t="s">
        <v>156</v>
      </c>
      <c r="HB9" s="8"/>
      <c r="HC9" s="8"/>
      <c r="HD9" s="8"/>
      <c r="HE9" s="8"/>
      <c r="HF9" s="8"/>
      <c r="HG9" s="8"/>
      <c r="HH9" s="8"/>
      <c r="HI9" s="8"/>
      <c r="HJ9" s="8"/>
      <c r="HK9" s="8"/>
      <c r="HL9" s="9"/>
      <c r="HN9" s="21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9"/>
      <c r="IA9" s="8"/>
      <c r="IB9" s="21"/>
      <c r="IC9" s="8"/>
      <c r="ID9" s="8"/>
      <c r="IE9" s="8"/>
      <c r="IF9" s="8"/>
      <c r="IG9" s="8"/>
      <c r="IH9" s="8"/>
      <c r="II9" s="8"/>
      <c r="IJ9" s="9"/>
      <c r="IL9" s="21"/>
      <c r="IM9" s="8"/>
      <c r="IN9" s="8"/>
      <c r="IO9" s="8"/>
      <c r="IP9" s="8"/>
      <c r="IQ9" s="8"/>
      <c r="IR9" s="8"/>
      <c r="IS9" s="8"/>
      <c r="IT9" s="9"/>
      <c r="IV9" s="21"/>
      <c r="IW9" s="7">
        <v>3</v>
      </c>
      <c r="IX9" s="7">
        <v>5</v>
      </c>
      <c r="IY9" s="7">
        <v>5.5</v>
      </c>
      <c r="IZ9" s="7">
        <v>5</v>
      </c>
      <c r="JA9" s="7"/>
      <c r="JB9" s="7"/>
      <c r="JC9" s="7">
        <v>4.5</v>
      </c>
      <c r="JD9" s="10">
        <v>7</v>
      </c>
      <c r="JF9" s="21"/>
      <c r="JG9" s="7">
        <f t="shared" si="42"/>
        <v>5</v>
      </c>
      <c r="JH9" s="7">
        <v>4</v>
      </c>
      <c r="JI9" s="7">
        <v>7</v>
      </c>
      <c r="JJ9" s="7">
        <f t="shared" si="12"/>
        <v>-3</v>
      </c>
      <c r="JK9" s="7"/>
      <c r="JL9" s="7">
        <v>5</v>
      </c>
      <c r="JM9" s="10"/>
      <c r="JN9" s="7"/>
      <c r="JO9" s="6"/>
      <c r="JP9" s="7">
        <f t="shared" si="43"/>
        <v>5</v>
      </c>
      <c r="JQ9" s="7">
        <v>27</v>
      </c>
      <c r="JR9" s="7">
        <v>30</v>
      </c>
      <c r="JS9" s="7">
        <f t="shared" si="13"/>
        <v>-3</v>
      </c>
      <c r="JT9" s="7"/>
      <c r="JU9" s="8">
        <v>10</v>
      </c>
      <c r="JV9" s="9"/>
    </row>
    <row r="10" spans="2:282" x14ac:dyDescent="0.35">
      <c r="B10" s="6"/>
      <c r="C10" s="7" t="s">
        <v>16</v>
      </c>
      <c r="D10" s="7"/>
      <c r="E10" s="7">
        <f>SUM(E5:E9)</f>
        <v>1</v>
      </c>
      <c r="F10" s="7">
        <f>SUM(F5:F9)</f>
        <v>42</v>
      </c>
      <c r="G10" s="7">
        <f>SUM(G5:G9)</f>
        <v>1.8514012074796833</v>
      </c>
      <c r="H10" s="8"/>
      <c r="I10" s="7"/>
      <c r="J10" s="7"/>
      <c r="K10" s="10"/>
      <c r="M10" s="6"/>
      <c r="N10" s="92" t="s">
        <v>16</v>
      </c>
      <c r="O10" s="92"/>
      <c r="P10" s="92">
        <f>SUM(P5:P9)</f>
        <v>1.0000000000000002</v>
      </c>
      <c r="Q10" s="92">
        <f>SUM(Q5:Q9)</f>
        <v>50.000000000000014</v>
      </c>
      <c r="R10" s="92">
        <f>SUM(R5:R9)</f>
        <v>16.262255577267574</v>
      </c>
      <c r="S10" s="8"/>
      <c r="T10" s="92"/>
      <c r="U10" s="92"/>
      <c r="V10" s="10"/>
      <c r="X10" s="21"/>
      <c r="Y10" s="7"/>
      <c r="Z10" s="7"/>
      <c r="AA10" s="7"/>
      <c r="AB10" s="7"/>
      <c r="AC10" s="7"/>
      <c r="AD10" s="7"/>
      <c r="AE10" s="7"/>
      <c r="AF10" s="7"/>
      <c r="AG10" s="7"/>
      <c r="AH10" s="8"/>
      <c r="AI10" s="9"/>
      <c r="AK10" s="21"/>
      <c r="AL10" s="7">
        <v>4</v>
      </c>
      <c r="AM10" s="7">
        <f>+AM23</f>
        <v>8</v>
      </c>
      <c r="AN10" s="7">
        <f>BINOMDIST(AL10,$AM$4,$AN$32,FALSE)</f>
        <v>0.24640367728568013</v>
      </c>
      <c r="AO10" s="7">
        <f t="shared" si="44"/>
        <v>9.3633397368558455</v>
      </c>
      <c r="AP10" s="7">
        <f t="shared" si="45"/>
        <v>0.19850772163846583</v>
      </c>
      <c r="AQ10" s="8"/>
      <c r="AR10" s="7"/>
      <c r="AS10" s="7"/>
      <c r="AT10" s="7"/>
      <c r="AU10" s="9"/>
      <c r="AW10" s="21">
        <f t="shared" si="15"/>
        <v>6</v>
      </c>
      <c r="AX10" s="25">
        <v>5.8008371449031984</v>
      </c>
      <c r="AY10" s="25">
        <v>4.1944552018831018</v>
      </c>
      <c r="AZ10" s="8">
        <f t="shared" si="3"/>
        <v>17.593454440604212</v>
      </c>
      <c r="BA10" s="7"/>
      <c r="BB10" s="7">
        <f>SUM(BB5:BB9)</f>
        <v>30</v>
      </c>
      <c r="BC10" s="8">
        <f>SUM(BC5:BC9)</f>
        <v>1</v>
      </c>
      <c r="BD10" s="8">
        <f>SUM(BD5:BD9)</f>
        <v>30</v>
      </c>
      <c r="BE10" s="19">
        <f>SUM(BE5:BE9)</f>
        <v>2.9999999999999996</v>
      </c>
      <c r="BF10" s="8"/>
      <c r="BG10" s="7"/>
      <c r="BH10" s="7"/>
      <c r="BI10" s="7"/>
      <c r="BJ10" s="9"/>
      <c r="BK10" s="8"/>
      <c r="BL10" s="21">
        <f t="shared" si="16"/>
        <v>6</v>
      </c>
      <c r="BM10" s="25">
        <v>5.8008371449031984</v>
      </c>
      <c r="BN10" s="25">
        <v>4.1944552018831018</v>
      </c>
      <c r="BO10" s="8">
        <f t="shared" si="4"/>
        <v>17.593454440604212</v>
      </c>
      <c r="BP10" s="7" t="s">
        <v>87</v>
      </c>
      <c r="BQ10" s="25">
        <v>4</v>
      </c>
      <c r="BR10" s="8">
        <f t="shared" si="5"/>
        <v>0.125</v>
      </c>
      <c r="BS10" s="8">
        <f t="shared" si="6"/>
        <v>3.75</v>
      </c>
      <c r="BT10" s="7">
        <f t="shared" si="1"/>
        <v>1.6666666666666666E-2</v>
      </c>
      <c r="BU10" s="8"/>
      <c r="BV10" s="7"/>
      <c r="BW10" s="7"/>
      <c r="BX10" s="7"/>
      <c r="BY10" s="9"/>
      <c r="BZ10" s="8"/>
      <c r="CA10" s="52">
        <f t="shared" si="46"/>
        <v>5</v>
      </c>
      <c r="CB10" s="53">
        <v>6.8121219252643641</v>
      </c>
      <c r="CC10" s="53">
        <v>4.1189210984666715</v>
      </c>
      <c r="CD10" s="54">
        <f t="shared" si="17"/>
        <v>0.13333333333333333</v>
      </c>
      <c r="CE10" s="54">
        <f t="shared" si="18"/>
        <v>0.16666666666666666</v>
      </c>
      <c r="CF10" s="52">
        <f t="shared" si="7"/>
        <v>0.20836491189945006</v>
      </c>
      <c r="CG10" s="54">
        <f t="shared" si="19"/>
        <v>7.5031578566116724E-2</v>
      </c>
      <c r="CH10" s="54">
        <f t="shared" si="20"/>
        <v>4.1698245232783399E-2</v>
      </c>
      <c r="CI10" s="8"/>
      <c r="CJ10" s="91" t="s">
        <v>231</v>
      </c>
      <c r="CK10" s="7">
        <f>+CK9</f>
        <v>0.185</v>
      </c>
      <c r="CL10" s="13" t="s">
        <v>11</v>
      </c>
      <c r="CM10" s="9"/>
      <c r="CO10" s="45">
        <v>17.343058565019685</v>
      </c>
      <c r="CP10" s="33">
        <f t="shared" si="47"/>
        <v>5</v>
      </c>
      <c r="CQ10" s="45">
        <v>12.981353190710166</v>
      </c>
      <c r="CR10" s="33">
        <f t="shared" si="21"/>
        <v>0.2</v>
      </c>
      <c r="CS10" s="33">
        <f t="shared" si="22"/>
        <v>0.25</v>
      </c>
      <c r="CT10" s="45">
        <f t="shared" si="23"/>
        <v>0.29813531907101665</v>
      </c>
      <c r="CU10" s="45">
        <f t="shared" si="24"/>
        <v>9.8135319071016636E-2</v>
      </c>
      <c r="CV10" s="45">
        <f t="shared" si="25"/>
        <v>4.8135319071016647E-2</v>
      </c>
      <c r="CW10" s="8"/>
      <c r="CX10" s="11" t="s">
        <v>9</v>
      </c>
      <c r="CY10" s="7">
        <v>0.05</v>
      </c>
      <c r="CZ10" s="7"/>
      <c r="DA10" s="8"/>
      <c r="DB10" s="9"/>
      <c r="DD10" s="45">
        <v>12.282720869407058</v>
      </c>
      <c r="DE10" s="33">
        <f t="shared" si="48"/>
        <v>5</v>
      </c>
      <c r="DF10" s="45">
        <v>13.228240656317212</v>
      </c>
      <c r="DG10" s="33">
        <f t="shared" si="26"/>
        <v>0.2</v>
      </c>
      <c r="DH10" s="33">
        <f t="shared" si="27"/>
        <v>0.25</v>
      </c>
      <c r="DI10" s="45">
        <f t="shared" si="28"/>
        <v>0.32282406563172117</v>
      </c>
      <c r="DJ10" s="45">
        <f t="shared" si="29"/>
        <v>0.12282406563172116</v>
      </c>
      <c r="DK10" s="45">
        <f t="shared" si="30"/>
        <v>7.2824065631721169E-2</v>
      </c>
      <c r="DL10" s="8"/>
      <c r="DM10" s="11" t="s">
        <v>9</v>
      </c>
      <c r="DN10" s="7">
        <v>0.05</v>
      </c>
      <c r="DO10" s="7"/>
      <c r="DP10" s="8"/>
      <c r="DQ10" s="9"/>
      <c r="DS10" s="47">
        <v>2.4870754112369151</v>
      </c>
      <c r="DT10" s="33">
        <f t="shared" si="49"/>
        <v>5</v>
      </c>
      <c r="DU10" s="47">
        <v>2.7160863063447982</v>
      </c>
      <c r="DV10" s="47">
        <f t="shared" si="31"/>
        <v>0.33333333333333331</v>
      </c>
      <c r="DW10" s="47">
        <f t="shared" si="32"/>
        <v>0.41666666666666669</v>
      </c>
      <c r="DX10" s="47">
        <f t="shared" si="33"/>
        <v>0.17902157658619955</v>
      </c>
      <c r="DY10" s="47">
        <f t="shared" si="34"/>
        <v>0.15431175674713377</v>
      </c>
      <c r="DZ10" s="47">
        <f t="shared" si="35"/>
        <v>0.23764509008046714</v>
      </c>
      <c r="EA10" s="8"/>
      <c r="EB10" s="11" t="s">
        <v>9</v>
      </c>
      <c r="EC10" s="7">
        <v>0.01</v>
      </c>
      <c r="ED10" s="7"/>
      <c r="EE10" s="8"/>
      <c r="EF10" s="9"/>
      <c r="EH10" s="52">
        <f t="shared" si="50"/>
        <v>5</v>
      </c>
      <c r="EI10" s="47">
        <v>4.2831249073788058</v>
      </c>
      <c r="EJ10" s="47">
        <v>3.4453404522355413</v>
      </c>
      <c r="EK10" s="47">
        <f t="shared" si="36"/>
        <v>0.08</v>
      </c>
      <c r="EL10" s="47">
        <f t="shared" si="37"/>
        <v>0.1</v>
      </c>
      <c r="EM10" s="45">
        <f t="shared" si="38"/>
        <v>0.12470079465771451</v>
      </c>
      <c r="EN10" s="45">
        <f t="shared" si="39"/>
        <v>4.470079465771451E-2</v>
      </c>
      <c r="EO10" s="45">
        <f t="shared" si="40"/>
        <v>2.4700794657714506E-2</v>
      </c>
      <c r="EP10" s="8"/>
      <c r="EQ10" s="91" t="s">
        <v>231</v>
      </c>
      <c r="ER10" s="27">
        <f>+ER9</f>
        <v>0.14707821048680189</v>
      </c>
      <c r="ES10" s="13" t="s">
        <v>11</v>
      </c>
      <c r="ET10" s="9"/>
      <c r="EV10" s="21">
        <f t="shared" si="41"/>
        <v>6</v>
      </c>
      <c r="EW10" s="25">
        <v>4.7710528987227008</v>
      </c>
      <c r="EX10" s="25">
        <v>3.6072862157016061</v>
      </c>
      <c r="EY10" s="8">
        <f t="shared" si="8"/>
        <v>13.012513841990815</v>
      </c>
      <c r="EZ10" s="7" t="s">
        <v>103</v>
      </c>
      <c r="FA10" s="61">
        <v>4</v>
      </c>
      <c r="FB10" s="7">
        <f t="shared" si="9"/>
        <v>0.1</v>
      </c>
      <c r="FC10" s="7">
        <f t="shared" si="10"/>
        <v>5</v>
      </c>
      <c r="FD10" s="25">
        <f t="shared" si="11"/>
        <v>0.2</v>
      </c>
      <c r="FE10" s="8"/>
      <c r="FF10" s="7"/>
      <c r="FG10" s="7"/>
      <c r="FH10" s="7"/>
      <c r="FI10" s="9"/>
      <c r="FK10" s="66">
        <v>-0.132383775053313</v>
      </c>
      <c r="FL10" s="8"/>
      <c r="FM10" s="8">
        <f t="shared" si="57"/>
        <v>4</v>
      </c>
      <c r="FN10" s="64">
        <v>-0.84068460637354292</v>
      </c>
      <c r="FO10" s="8"/>
      <c r="FP10" s="8"/>
      <c r="FQ10" s="8"/>
      <c r="FR10" s="8"/>
      <c r="FS10" s="8"/>
      <c r="FT10" s="8"/>
      <c r="FU10" s="8"/>
      <c r="FV10" s="9"/>
      <c r="FX10" s="66">
        <v>-0.132383775053313</v>
      </c>
      <c r="FY10" s="8"/>
      <c r="FZ10" s="8">
        <f t="shared" si="58"/>
        <v>4</v>
      </c>
      <c r="GA10" s="64">
        <v>-0.83676923168241046</v>
      </c>
      <c r="GB10" s="8"/>
      <c r="GC10" s="8"/>
      <c r="GD10" s="8"/>
      <c r="GE10" s="8"/>
      <c r="GF10" s="8"/>
      <c r="GG10" s="8"/>
      <c r="GH10" s="8"/>
      <c r="GI10" s="9"/>
      <c r="GK10" s="66">
        <v>12.077716216153931</v>
      </c>
      <c r="GL10" s="8"/>
      <c r="GM10" s="8">
        <f t="shared" si="51"/>
        <v>4</v>
      </c>
      <c r="GN10" s="63">
        <v>11.939704942633398</v>
      </c>
      <c r="GO10" s="8"/>
      <c r="GP10" s="8"/>
      <c r="GQ10" s="8"/>
      <c r="GR10" s="8"/>
      <c r="GS10" s="8"/>
      <c r="GT10" s="8"/>
      <c r="GU10" s="8"/>
      <c r="GV10" s="8"/>
      <c r="GW10" s="8"/>
      <c r="GX10" s="9"/>
      <c r="GZ10" s="21"/>
      <c r="HA10" s="31" t="s">
        <v>157</v>
      </c>
      <c r="HB10" s="8">
        <v>0.05</v>
      </c>
      <c r="HC10" s="8"/>
      <c r="HD10" s="8"/>
      <c r="HE10" s="8"/>
      <c r="HF10" s="8"/>
      <c r="HG10" s="8"/>
      <c r="HH10" s="8"/>
      <c r="HI10" s="8"/>
      <c r="HJ10" s="8"/>
      <c r="HK10" s="8"/>
      <c r="HL10" s="9"/>
      <c r="HN10" s="21"/>
      <c r="HO10" s="8" t="s">
        <v>306</v>
      </c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9"/>
      <c r="IA10" s="8"/>
      <c r="IB10" s="21"/>
      <c r="IC10" s="8" t="s">
        <v>187</v>
      </c>
      <c r="ID10" s="8"/>
      <c r="IE10" s="8"/>
      <c r="IF10" s="8"/>
      <c r="IG10" s="8"/>
      <c r="IH10" s="8"/>
      <c r="II10" s="8"/>
      <c r="IJ10" s="9"/>
      <c r="IL10" s="21"/>
      <c r="IM10" s="8" t="s">
        <v>187</v>
      </c>
      <c r="IN10" s="8"/>
      <c r="IO10" s="8"/>
      <c r="IP10" s="8"/>
      <c r="IQ10" s="8"/>
      <c r="IR10" s="8"/>
      <c r="IS10" s="8"/>
      <c r="IT10" s="9"/>
      <c r="IV10" s="21"/>
      <c r="IW10" s="7">
        <v>5</v>
      </c>
      <c r="IX10" s="7">
        <v>6.5</v>
      </c>
      <c r="IY10" s="7">
        <v>6</v>
      </c>
      <c r="IZ10" s="7">
        <v>5</v>
      </c>
      <c r="JA10" s="7">
        <v>5</v>
      </c>
      <c r="JB10" s="7">
        <v>9</v>
      </c>
      <c r="JC10" s="7">
        <v>5</v>
      </c>
      <c r="JD10" s="10">
        <v>9</v>
      </c>
      <c r="JF10" s="21"/>
      <c r="JG10" s="7">
        <f t="shared" si="42"/>
        <v>6</v>
      </c>
      <c r="JH10" s="7">
        <v>5</v>
      </c>
      <c r="JI10" s="7">
        <v>5</v>
      </c>
      <c r="JJ10" s="7">
        <f t="shared" si="12"/>
        <v>0</v>
      </c>
      <c r="JK10" s="7"/>
      <c r="JL10" s="7"/>
      <c r="JM10" s="10"/>
      <c r="JN10" s="7"/>
      <c r="JO10" s="6"/>
      <c r="JP10" s="7">
        <f t="shared" si="43"/>
        <v>6</v>
      </c>
      <c r="JQ10" s="7">
        <v>32</v>
      </c>
      <c r="JR10" s="7">
        <v>30</v>
      </c>
      <c r="JS10" s="7">
        <f t="shared" si="13"/>
        <v>2</v>
      </c>
      <c r="JT10" s="7">
        <v>6</v>
      </c>
      <c r="JU10" s="8"/>
      <c r="JV10" s="9"/>
    </row>
    <row r="11" spans="2:282" x14ac:dyDescent="0.35">
      <c r="B11" s="6"/>
      <c r="C11" s="7"/>
      <c r="D11" s="7"/>
      <c r="E11" s="7"/>
      <c r="F11" s="7"/>
      <c r="G11" s="7"/>
      <c r="H11" s="8"/>
      <c r="I11" s="7" t="s">
        <v>10</v>
      </c>
      <c r="J11" s="27">
        <f>+G10</f>
        <v>1.8514012074796833</v>
      </c>
      <c r="K11" s="9"/>
      <c r="M11" s="6"/>
      <c r="N11" s="92"/>
      <c r="O11" s="92"/>
      <c r="P11" s="92"/>
      <c r="Q11" s="92"/>
      <c r="R11" s="92"/>
      <c r="S11" s="8"/>
      <c r="T11" s="92" t="s">
        <v>10</v>
      </c>
      <c r="U11" s="27">
        <f>+R10</f>
        <v>16.262255577267574</v>
      </c>
      <c r="V11" s="9"/>
      <c r="X11" s="21"/>
      <c r="Y11" s="7"/>
      <c r="Z11" s="7"/>
      <c r="AA11" s="7"/>
      <c r="AB11" s="7"/>
      <c r="AC11" s="7"/>
      <c r="AD11" s="7"/>
      <c r="AE11" s="7" t="s">
        <v>10</v>
      </c>
      <c r="AF11" s="7">
        <f>+AC9</f>
        <v>76.7</v>
      </c>
      <c r="AG11" s="7"/>
      <c r="AH11" s="8"/>
      <c r="AI11" s="9"/>
      <c r="AK11" s="21"/>
      <c r="AL11" s="7">
        <v>5</v>
      </c>
      <c r="AM11" s="7">
        <f>+AM24</f>
        <v>5</v>
      </c>
      <c r="AN11" s="7">
        <f>BINOMDIST(AL11,$AM$4,$AN$32,FALSE)</f>
        <v>0.1744414317855108</v>
      </c>
      <c r="AO11" s="7">
        <f t="shared" si="44"/>
        <v>6.6287744078494102</v>
      </c>
      <c r="AP11" s="7">
        <f t="shared" si="45"/>
        <v>0.40021064354276098</v>
      </c>
      <c r="AQ11" s="8"/>
      <c r="AR11" s="7" t="s">
        <v>10</v>
      </c>
      <c r="AS11" s="7">
        <f>+AP14</f>
        <v>6.9745423579378762</v>
      </c>
      <c r="AT11" s="7"/>
      <c r="AU11" s="9"/>
      <c r="AW11" s="21">
        <f t="shared" si="15"/>
        <v>7</v>
      </c>
      <c r="AX11" s="25">
        <v>5.2394145920115989</v>
      </c>
      <c r="AY11" s="25">
        <v>4.2787551289220573</v>
      </c>
      <c r="AZ11" s="8">
        <f t="shared" si="3"/>
        <v>18.307745453276812</v>
      </c>
      <c r="BA11" s="7"/>
      <c r="BB11" s="8"/>
      <c r="BC11" s="8"/>
      <c r="BD11" s="8"/>
      <c r="BE11" s="8"/>
      <c r="BF11" s="8"/>
      <c r="BG11" s="7" t="s">
        <v>10</v>
      </c>
      <c r="BH11" s="7">
        <f>+BE10</f>
        <v>2.9999999999999996</v>
      </c>
      <c r="BI11" s="7"/>
      <c r="BJ11" s="9"/>
      <c r="BK11" s="8"/>
      <c r="BL11" s="21">
        <f t="shared" si="16"/>
        <v>7</v>
      </c>
      <c r="BM11" s="25">
        <v>5.2394145920115989</v>
      </c>
      <c r="BN11" s="25">
        <v>4.2787551289220573</v>
      </c>
      <c r="BO11" s="8">
        <f t="shared" si="4"/>
        <v>18.307745453276812</v>
      </c>
      <c r="BP11" s="7" t="s">
        <v>88</v>
      </c>
      <c r="BQ11" s="25">
        <v>4</v>
      </c>
      <c r="BR11" s="8">
        <f t="shared" si="5"/>
        <v>0.125</v>
      </c>
      <c r="BS11" s="8">
        <f t="shared" si="6"/>
        <v>3.75</v>
      </c>
      <c r="BT11" s="7">
        <f t="shared" si="1"/>
        <v>1.6666666666666666E-2</v>
      </c>
      <c r="BU11" s="8"/>
      <c r="BV11" s="7" t="s">
        <v>10</v>
      </c>
      <c r="BW11" s="7">
        <f>+BT13</f>
        <v>1.9999999999999998</v>
      </c>
      <c r="BX11" s="7"/>
      <c r="BY11" s="9"/>
      <c r="BZ11" s="8"/>
      <c r="CA11" s="52">
        <f t="shared" si="46"/>
        <v>6</v>
      </c>
      <c r="CB11" s="53">
        <v>5.8008371449031984</v>
      </c>
      <c r="CC11" s="53">
        <v>4.1944552018831018</v>
      </c>
      <c r="CD11" s="54">
        <f t="shared" si="17"/>
        <v>0.16666666666666666</v>
      </c>
      <c r="CE11" s="54">
        <f t="shared" si="18"/>
        <v>0.2</v>
      </c>
      <c r="CF11" s="52">
        <f t="shared" si="7"/>
        <v>0.22223869995815287</v>
      </c>
      <c r="CG11" s="54">
        <f t="shared" si="19"/>
        <v>5.5572033291486217E-2</v>
      </c>
      <c r="CH11" s="54">
        <f t="shared" si="20"/>
        <v>2.2238699958152863E-2</v>
      </c>
      <c r="CI11" s="8"/>
      <c r="CJ11" s="91" t="s">
        <v>232</v>
      </c>
      <c r="CK11" s="13">
        <v>0</v>
      </c>
      <c r="CL11" s="7">
        <f>+CK10</f>
        <v>0.185</v>
      </c>
      <c r="CM11" s="9"/>
      <c r="CO11" s="45">
        <v>13.729972228156377</v>
      </c>
      <c r="CP11" s="33">
        <f t="shared" si="47"/>
        <v>6</v>
      </c>
      <c r="CQ11" s="45">
        <v>13.122959074678793</v>
      </c>
      <c r="CR11" s="33">
        <f t="shared" si="21"/>
        <v>0.25</v>
      </c>
      <c r="CS11" s="33">
        <f t="shared" si="22"/>
        <v>0.3</v>
      </c>
      <c r="CT11" s="45">
        <f t="shared" si="23"/>
        <v>0.31229590746787927</v>
      </c>
      <c r="CU11" s="45">
        <f t="shared" si="24"/>
        <v>6.2295907467879275E-2</v>
      </c>
      <c r="CV11" s="45">
        <f t="shared" si="25"/>
        <v>1.2295907467879286E-2</v>
      </c>
      <c r="CW11" s="8"/>
      <c r="CX11" s="7" t="s">
        <v>7</v>
      </c>
      <c r="CY11" s="7">
        <v>20</v>
      </c>
      <c r="CZ11" s="7"/>
      <c r="DA11" s="8"/>
      <c r="DB11" s="9"/>
      <c r="DD11" s="45">
        <v>15.248260221269447</v>
      </c>
      <c r="DE11" s="33">
        <f t="shared" si="48"/>
        <v>6</v>
      </c>
      <c r="DF11" s="45">
        <v>14.151732481550425</v>
      </c>
      <c r="DG11" s="33">
        <f t="shared" si="26"/>
        <v>0.25</v>
      </c>
      <c r="DH11" s="33">
        <f t="shared" si="27"/>
        <v>0.3</v>
      </c>
      <c r="DI11" s="45">
        <f t="shared" si="28"/>
        <v>0.41517324815504253</v>
      </c>
      <c r="DJ11" s="45">
        <f t="shared" si="29"/>
        <v>0.16517324815504253</v>
      </c>
      <c r="DK11" s="45">
        <f t="shared" si="30"/>
        <v>0.11517324815504254</v>
      </c>
      <c r="DL11" s="8"/>
      <c r="DM11" s="7" t="s">
        <v>7</v>
      </c>
      <c r="DN11" s="7">
        <v>20</v>
      </c>
      <c r="DO11" s="7"/>
      <c r="DP11" s="8"/>
      <c r="DQ11" s="9"/>
      <c r="DS11" s="47">
        <v>3.6204107791375471</v>
      </c>
      <c r="DT11" s="33">
        <f t="shared" si="49"/>
        <v>6</v>
      </c>
      <c r="DU11" s="47">
        <v>2.9015167699209572</v>
      </c>
      <c r="DV11" s="47">
        <f t="shared" si="31"/>
        <v>0.41666666666666669</v>
      </c>
      <c r="DW11" s="47">
        <f t="shared" si="32"/>
        <v>0.5</v>
      </c>
      <c r="DX11" s="47">
        <f t="shared" si="33"/>
        <v>0.2253791924802393</v>
      </c>
      <c r="DY11" s="47">
        <f t="shared" si="34"/>
        <v>0.19128747418642739</v>
      </c>
      <c r="DZ11" s="47">
        <f t="shared" si="35"/>
        <v>0.2746208075197607</v>
      </c>
      <c r="EA11" s="8"/>
      <c r="EB11" s="7" t="s">
        <v>7</v>
      </c>
      <c r="EC11" s="7">
        <v>12</v>
      </c>
      <c r="ED11" s="7"/>
      <c r="EE11" s="8"/>
      <c r="EF11" s="9"/>
      <c r="EH11" s="52">
        <f t="shared" si="50"/>
        <v>6</v>
      </c>
      <c r="EI11" s="47">
        <v>4.7710528987227008</v>
      </c>
      <c r="EJ11" s="47">
        <v>3.6072862157016061</v>
      </c>
      <c r="EK11" s="47">
        <f t="shared" si="36"/>
        <v>0.1</v>
      </c>
      <c r="EL11" s="47">
        <f t="shared" si="37"/>
        <v>0.12</v>
      </c>
      <c r="EM11" s="45">
        <f t="shared" si="38"/>
        <v>0.14825922733238545</v>
      </c>
      <c r="EN11" s="45">
        <f t="shared" si="39"/>
        <v>4.825922733238544E-2</v>
      </c>
      <c r="EO11" s="45">
        <f t="shared" si="40"/>
        <v>2.825922733238545E-2</v>
      </c>
      <c r="EP11" s="8"/>
      <c r="EQ11" s="91" t="s">
        <v>232</v>
      </c>
      <c r="ER11" s="13">
        <v>0</v>
      </c>
      <c r="ES11" s="27">
        <f>+ER10</f>
        <v>0.14707821048680189</v>
      </c>
      <c r="ET11" s="9"/>
      <c r="EV11" s="21">
        <f t="shared" si="41"/>
        <v>7</v>
      </c>
      <c r="EW11" s="25">
        <v>4.3904413031486911</v>
      </c>
      <c r="EX11" s="25">
        <v>3.9848419090776588</v>
      </c>
      <c r="EY11" s="8">
        <f t="shared" si="8"/>
        <v>15.878965040341681</v>
      </c>
      <c r="EZ11" s="7" t="s">
        <v>104</v>
      </c>
      <c r="FA11" s="61">
        <v>2</v>
      </c>
      <c r="FB11" s="7">
        <f t="shared" si="9"/>
        <v>0.1</v>
      </c>
      <c r="FC11" s="7">
        <f t="shared" si="10"/>
        <v>5</v>
      </c>
      <c r="FD11" s="25">
        <f t="shared" si="11"/>
        <v>1.8</v>
      </c>
      <c r="FE11" s="8"/>
      <c r="FF11" s="7" t="s">
        <v>10</v>
      </c>
      <c r="FG11" s="25">
        <f>+FD15</f>
        <v>11.2</v>
      </c>
      <c r="FH11" s="7"/>
      <c r="FI11" s="9"/>
      <c r="FK11" s="66">
        <v>-0.84068460637354292</v>
      </c>
      <c r="FL11" s="8"/>
      <c r="FM11" s="8">
        <f t="shared" si="57"/>
        <v>5</v>
      </c>
      <c r="FN11" s="64">
        <v>-0.83676923168241046</v>
      </c>
      <c r="FO11" s="8"/>
      <c r="FP11" s="8"/>
      <c r="FQ11" s="8"/>
      <c r="FR11" s="8"/>
      <c r="FS11" s="7" t="s">
        <v>14</v>
      </c>
      <c r="FT11" s="14" t="s">
        <v>267</v>
      </c>
      <c r="FU11" s="7"/>
      <c r="FV11" s="9"/>
      <c r="FX11" s="66">
        <v>-0.84068460637354292</v>
      </c>
      <c r="FY11" s="8"/>
      <c r="FZ11" s="8">
        <f t="shared" si="58"/>
        <v>5</v>
      </c>
      <c r="GA11" s="64">
        <v>-0.3348282007209491</v>
      </c>
      <c r="GB11" s="8"/>
      <c r="GC11" s="8"/>
      <c r="GD11" s="8"/>
      <c r="GE11" s="8"/>
      <c r="GF11" s="7" t="s">
        <v>14</v>
      </c>
      <c r="GG11" s="14" t="s">
        <v>267</v>
      </c>
      <c r="GH11" s="7"/>
      <c r="GI11" s="9"/>
      <c r="GK11" s="66">
        <v>20.071524356026202</v>
      </c>
      <c r="GL11" s="8"/>
      <c r="GM11" s="8">
        <f t="shared" si="51"/>
        <v>5</v>
      </c>
      <c r="GN11" s="63">
        <v>12.077716216153931</v>
      </c>
      <c r="GO11" s="8"/>
      <c r="GP11" s="8"/>
      <c r="GQ11" s="8"/>
      <c r="GR11" s="8"/>
      <c r="GS11" s="8"/>
      <c r="GT11" s="8"/>
      <c r="GU11" s="8"/>
      <c r="GV11" s="8"/>
      <c r="GW11" s="8"/>
      <c r="GX11" s="9"/>
      <c r="GZ11" s="21"/>
      <c r="HA11" s="31" t="s">
        <v>158</v>
      </c>
      <c r="HB11" s="8">
        <f>+HB10/2</f>
        <v>2.5000000000000001E-2</v>
      </c>
      <c r="HC11" s="8"/>
      <c r="HD11" s="8"/>
      <c r="HE11" s="8"/>
      <c r="HF11" s="8"/>
      <c r="HG11" s="8"/>
      <c r="HH11" s="8"/>
      <c r="HI11" s="8"/>
      <c r="HJ11" s="8"/>
      <c r="HK11" s="8"/>
      <c r="HL11" s="9"/>
      <c r="HN11" s="21"/>
      <c r="HO11" s="8" t="s">
        <v>358</v>
      </c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9"/>
      <c r="IA11" s="8"/>
      <c r="IB11" s="21"/>
      <c r="IC11" s="8"/>
      <c r="ID11" s="7" t="s">
        <v>180</v>
      </c>
      <c r="IE11" s="7" t="s">
        <v>181</v>
      </c>
      <c r="IF11" s="7" t="s">
        <v>182</v>
      </c>
      <c r="IG11" s="7" t="s">
        <v>183</v>
      </c>
      <c r="IH11" s="7" t="s">
        <v>184</v>
      </c>
      <c r="II11" s="7" t="s">
        <v>186</v>
      </c>
      <c r="IJ11" s="9"/>
      <c r="IL11" s="21"/>
      <c r="IM11" s="8"/>
      <c r="IN11" s="7" t="s">
        <v>180</v>
      </c>
      <c r="IO11" s="7" t="s">
        <v>181</v>
      </c>
      <c r="IP11" s="7" t="s">
        <v>182</v>
      </c>
      <c r="IQ11" s="7" t="s">
        <v>183</v>
      </c>
      <c r="IR11" s="7" t="s">
        <v>184</v>
      </c>
      <c r="IS11" s="7" t="s">
        <v>186</v>
      </c>
      <c r="IT11" s="9"/>
      <c r="IV11" s="21"/>
      <c r="IW11" s="7">
        <v>6.5</v>
      </c>
      <c r="IX11" s="7">
        <v>8</v>
      </c>
      <c r="IY11" s="7">
        <v>6.5</v>
      </c>
      <c r="IZ11" s="7">
        <v>6.5</v>
      </c>
      <c r="JA11" s="7">
        <v>5.5</v>
      </c>
      <c r="JB11" s="7">
        <v>11</v>
      </c>
      <c r="JC11" s="7"/>
      <c r="JD11" s="10"/>
      <c r="JF11" s="21"/>
      <c r="JG11" s="7">
        <f t="shared" si="42"/>
        <v>7</v>
      </c>
      <c r="JH11" s="7">
        <v>3</v>
      </c>
      <c r="JI11" s="7">
        <v>7</v>
      </c>
      <c r="JJ11" s="7">
        <f t="shared" si="12"/>
        <v>-4</v>
      </c>
      <c r="JK11" s="7"/>
      <c r="JL11" s="7">
        <v>8.5</v>
      </c>
      <c r="JM11" s="10"/>
      <c r="JN11" s="7"/>
      <c r="JO11" s="6"/>
      <c r="JP11" s="7">
        <f t="shared" si="43"/>
        <v>7</v>
      </c>
      <c r="JQ11" s="7">
        <v>35</v>
      </c>
      <c r="JR11" s="7">
        <v>31</v>
      </c>
      <c r="JS11" s="7">
        <f t="shared" si="13"/>
        <v>4</v>
      </c>
      <c r="JT11" s="7">
        <v>14</v>
      </c>
      <c r="JU11" s="8"/>
      <c r="JV11" s="9"/>
    </row>
    <row r="12" spans="2:282" x14ac:dyDescent="0.35">
      <c r="B12" s="6"/>
      <c r="C12" s="7"/>
      <c r="D12" s="7"/>
      <c r="E12" s="7"/>
      <c r="F12" s="7"/>
      <c r="G12" s="7"/>
      <c r="H12" s="8"/>
      <c r="I12" s="14" t="s">
        <v>233</v>
      </c>
      <c r="J12" s="8"/>
      <c r="K12" s="9"/>
      <c r="M12" s="6"/>
      <c r="N12" s="92"/>
      <c r="O12" s="92"/>
      <c r="P12" s="92"/>
      <c r="Q12" s="92"/>
      <c r="R12" s="92"/>
      <c r="S12" s="8"/>
      <c r="T12" s="14" t="s">
        <v>357</v>
      </c>
      <c r="U12" s="8"/>
      <c r="V12" s="9"/>
      <c r="X12" s="22"/>
      <c r="Y12" s="16"/>
      <c r="Z12" s="16"/>
      <c r="AA12" s="16"/>
      <c r="AB12" s="16"/>
      <c r="AC12" s="16"/>
      <c r="AD12" s="16"/>
      <c r="AE12" s="23" t="s">
        <v>246</v>
      </c>
      <c r="AF12" s="16"/>
      <c r="AG12" s="16"/>
      <c r="AH12" s="17"/>
      <c r="AI12" s="18"/>
      <c r="AK12" s="21"/>
      <c r="AL12" s="7">
        <v>6</v>
      </c>
      <c r="AM12" s="7">
        <f>+AM25</f>
        <v>3</v>
      </c>
      <c r="AN12" s="7">
        <f>BINOMDIST(AL12,$AM$4,$AN$32,FALSE)</f>
        <v>8.5760954957311814E-2</v>
      </c>
      <c r="AO12" s="7">
        <f t="shared" si="44"/>
        <v>3.2589162883778489</v>
      </c>
      <c r="AP12" s="7">
        <f t="shared" si="45"/>
        <v>2.0570532795345257E-2</v>
      </c>
      <c r="AQ12" s="8"/>
      <c r="AR12" s="8" t="s">
        <v>249</v>
      </c>
      <c r="AS12" s="8"/>
      <c r="AT12" s="8"/>
      <c r="AU12" s="9"/>
      <c r="AW12" s="21">
        <f t="shared" si="15"/>
        <v>8</v>
      </c>
      <c r="AX12" s="25">
        <v>4.5941178692883113</v>
      </c>
      <c r="AY12" s="25">
        <v>4.4088577775764861</v>
      </c>
      <c r="AZ12" s="8">
        <f t="shared" si="3"/>
        <v>19.438026902896674</v>
      </c>
      <c r="BA12" s="7"/>
      <c r="BB12" s="8"/>
      <c r="BC12" s="8"/>
      <c r="BD12" s="8"/>
      <c r="BE12" s="8"/>
      <c r="BF12" s="8"/>
      <c r="BG12" s="7"/>
      <c r="BH12" s="7"/>
      <c r="BI12" s="7"/>
      <c r="BJ12" s="9"/>
      <c r="BK12" s="8"/>
      <c r="BL12" s="21">
        <f t="shared" si="16"/>
        <v>8</v>
      </c>
      <c r="BM12" s="25">
        <v>4.5941178692883113</v>
      </c>
      <c r="BN12" s="25">
        <v>4.4088577775764861</v>
      </c>
      <c r="BO12" s="8">
        <f t="shared" si="4"/>
        <v>19.438026902896674</v>
      </c>
      <c r="BP12" s="7" t="s">
        <v>89</v>
      </c>
      <c r="BQ12" s="25">
        <v>3</v>
      </c>
      <c r="BR12" s="8">
        <f t="shared" si="5"/>
        <v>0.125</v>
      </c>
      <c r="BS12" s="8">
        <f t="shared" si="6"/>
        <v>3.75</v>
      </c>
      <c r="BT12" s="7">
        <f t="shared" si="1"/>
        <v>0.15</v>
      </c>
      <c r="BU12" s="8"/>
      <c r="BV12" s="7"/>
      <c r="BW12" s="7"/>
      <c r="BX12" s="7"/>
      <c r="BY12" s="9"/>
      <c r="BZ12" s="8"/>
      <c r="CA12" s="52">
        <f t="shared" si="46"/>
        <v>7</v>
      </c>
      <c r="CB12" s="53">
        <v>5.2394145920115989</v>
      </c>
      <c r="CC12" s="53">
        <v>4.2787551289220573</v>
      </c>
      <c r="CD12" s="54">
        <f t="shared" si="17"/>
        <v>0.2</v>
      </c>
      <c r="CE12" s="54">
        <f t="shared" si="18"/>
        <v>0.23333333333333334</v>
      </c>
      <c r="CF12" s="52">
        <f t="shared" si="7"/>
        <v>0.23832715872138471</v>
      </c>
      <c r="CG12" s="54">
        <f t="shared" si="19"/>
        <v>3.8327158721384702E-2</v>
      </c>
      <c r="CH12" s="54">
        <f t="shared" si="20"/>
        <v>4.9938253880513761E-3</v>
      </c>
      <c r="CI12" s="8"/>
      <c r="CJ12" s="7"/>
      <c r="CK12" s="7"/>
      <c r="CL12" s="7"/>
      <c r="CM12" s="9"/>
      <c r="CO12" s="45">
        <v>19.980773339030122</v>
      </c>
      <c r="CP12" s="33">
        <f t="shared" si="47"/>
        <v>7</v>
      </c>
      <c r="CQ12" s="45">
        <v>13.158055360576189</v>
      </c>
      <c r="CR12" s="33">
        <f t="shared" si="21"/>
        <v>0.3</v>
      </c>
      <c r="CS12" s="33">
        <f t="shared" si="22"/>
        <v>0.35</v>
      </c>
      <c r="CT12" s="45">
        <f t="shared" si="23"/>
        <v>0.31580553605761885</v>
      </c>
      <c r="CU12" s="45">
        <f t="shared" si="24"/>
        <v>1.5805536057618863E-2</v>
      </c>
      <c r="CV12" s="45">
        <f t="shared" si="25"/>
        <v>3.4194463942381126E-2</v>
      </c>
      <c r="CW12" s="8"/>
      <c r="CX12" s="7" t="s">
        <v>8</v>
      </c>
      <c r="CY12" s="7">
        <v>0.29408000000000001</v>
      </c>
      <c r="CZ12" s="7"/>
      <c r="DA12" s="8"/>
      <c r="DB12" s="9"/>
      <c r="DD12" s="45">
        <v>14.537610619881889</v>
      </c>
      <c r="DE12" s="33">
        <f t="shared" si="48"/>
        <v>7</v>
      </c>
      <c r="DF12" s="45">
        <v>14.414403646369465</v>
      </c>
      <c r="DG12" s="33">
        <f t="shared" si="26"/>
        <v>0.3</v>
      </c>
      <c r="DH12" s="33">
        <f t="shared" si="27"/>
        <v>0.35</v>
      </c>
      <c r="DI12" s="45">
        <f t="shared" si="28"/>
        <v>0.44144036463694647</v>
      </c>
      <c r="DJ12" s="45">
        <f t="shared" si="29"/>
        <v>0.14144036463694648</v>
      </c>
      <c r="DK12" s="45">
        <f t="shared" si="30"/>
        <v>9.1440364636946492E-2</v>
      </c>
      <c r="DL12" s="8"/>
      <c r="DM12" s="7" t="s">
        <v>8</v>
      </c>
      <c r="DN12" s="7">
        <v>0.29408000000000001</v>
      </c>
      <c r="DO12" s="7"/>
      <c r="DP12" s="8"/>
      <c r="DQ12" s="9"/>
      <c r="DS12" s="47">
        <v>2.7160863063447982</v>
      </c>
      <c r="DT12" s="33">
        <f t="shared" si="49"/>
        <v>7</v>
      </c>
      <c r="DU12" s="47">
        <v>2.9399700918607135</v>
      </c>
      <c r="DV12" s="47">
        <f t="shared" si="31"/>
        <v>0.5</v>
      </c>
      <c r="DW12" s="47">
        <f t="shared" si="32"/>
        <v>0.58333333333333337</v>
      </c>
      <c r="DX12" s="47">
        <f t="shared" si="33"/>
        <v>0.23499252296517836</v>
      </c>
      <c r="DY12" s="47">
        <f t="shared" si="34"/>
        <v>0.26500747703482164</v>
      </c>
      <c r="DZ12" s="47">
        <f t="shared" si="35"/>
        <v>0.34834081036815501</v>
      </c>
      <c r="EA12" s="8"/>
      <c r="EB12" s="7" t="s">
        <v>8</v>
      </c>
      <c r="EC12" s="7">
        <v>0.44905</v>
      </c>
      <c r="ED12" s="7"/>
      <c r="EE12" s="8"/>
      <c r="EF12" s="9"/>
      <c r="EH12" s="52">
        <f t="shared" si="50"/>
        <v>7</v>
      </c>
      <c r="EI12" s="47">
        <v>4.3904413031486911</v>
      </c>
      <c r="EJ12" s="47">
        <v>3.9848419090776588</v>
      </c>
      <c r="EK12" s="47">
        <f t="shared" si="36"/>
        <v>0.12</v>
      </c>
      <c r="EL12" s="47">
        <f t="shared" si="37"/>
        <v>0.14000000000000001</v>
      </c>
      <c r="EM12" s="45">
        <f t="shared" si="38"/>
        <v>0.21405482545527635</v>
      </c>
      <c r="EN12" s="45">
        <f t="shared" si="39"/>
        <v>9.4054825455276353E-2</v>
      </c>
      <c r="EO12" s="45">
        <f t="shared" si="40"/>
        <v>7.4054825455276335E-2</v>
      </c>
      <c r="EP12" s="8"/>
      <c r="EQ12" s="7"/>
      <c r="ER12" s="7"/>
      <c r="ES12" s="7"/>
      <c r="ET12" s="9"/>
      <c r="EV12" s="21">
        <f t="shared" si="41"/>
        <v>8</v>
      </c>
      <c r="EW12" s="25">
        <v>4.2797791037446586</v>
      </c>
      <c r="EX12" s="25">
        <v>3.9857064974785317</v>
      </c>
      <c r="EY12" s="8">
        <f t="shared" si="8"/>
        <v>15.885856284042585</v>
      </c>
      <c r="EZ12" s="7" t="s">
        <v>105</v>
      </c>
      <c r="FA12" s="61">
        <v>10</v>
      </c>
      <c r="FB12" s="7">
        <f t="shared" si="9"/>
        <v>0.1</v>
      </c>
      <c r="FC12" s="7">
        <f t="shared" si="10"/>
        <v>5</v>
      </c>
      <c r="FD12" s="25">
        <f t="shared" si="11"/>
        <v>5</v>
      </c>
      <c r="FE12" s="8"/>
      <c r="FF12" s="7"/>
      <c r="FG12" s="7"/>
      <c r="FH12" s="7"/>
      <c r="FI12" s="9"/>
      <c r="FK12" s="66">
        <v>-0.83676923168241046</v>
      </c>
      <c r="FL12" s="8"/>
      <c r="FM12" s="8">
        <f t="shared" si="57"/>
        <v>6</v>
      </c>
      <c r="FN12" s="64">
        <v>-0.3348282007209491</v>
      </c>
      <c r="FO12" s="8"/>
      <c r="FP12" s="8"/>
      <c r="FQ12" s="8"/>
      <c r="FR12" s="8"/>
      <c r="FS12" s="7" t="s">
        <v>15</v>
      </c>
      <c r="FT12" s="14" t="s">
        <v>268</v>
      </c>
      <c r="FU12" s="7"/>
      <c r="FV12" s="9"/>
      <c r="FX12" s="66">
        <v>-0.83676923168241046</v>
      </c>
      <c r="FY12" s="8"/>
      <c r="FZ12" s="8">
        <f t="shared" si="58"/>
        <v>6</v>
      </c>
      <c r="GA12" s="64">
        <v>-0.132383775053313</v>
      </c>
      <c r="GB12" s="8"/>
      <c r="GC12" s="8"/>
      <c r="GD12" s="8"/>
      <c r="GE12" s="8"/>
      <c r="GF12" s="7" t="s">
        <v>15</v>
      </c>
      <c r="GG12" s="14" t="s">
        <v>268</v>
      </c>
      <c r="GH12" s="7"/>
      <c r="GI12" s="9"/>
      <c r="GK12" s="66">
        <v>16.729404175421223</v>
      </c>
      <c r="GL12" s="8"/>
      <c r="GM12" s="8">
        <f t="shared" si="51"/>
        <v>6</v>
      </c>
      <c r="GN12" s="63">
        <v>13.726207195431925</v>
      </c>
      <c r="GO12" s="8"/>
      <c r="GP12" s="8"/>
      <c r="GQ12" s="8"/>
      <c r="GR12" s="8"/>
      <c r="GS12" s="8"/>
      <c r="GT12" s="8"/>
      <c r="GU12" s="8"/>
      <c r="GV12" s="8"/>
      <c r="GW12" s="8"/>
      <c r="GX12" s="9"/>
      <c r="GZ12" s="21"/>
      <c r="HA12" s="31" t="s">
        <v>159</v>
      </c>
      <c r="HB12" s="8">
        <v>6</v>
      </c>
      <c r="HC12" s="8"/>
      <c r="HD12" s="8"/>
      <c r="HE12" s="8"/>
      <c r="HF12" s="8"/>
      <c r="HG12" s="8"/>
      <c r="HH12" s="8"/>
      <c r="HI12" s="8"/>
      <c r="HJ12" s="8"/>
      <c r="HK12" s="8"/>
      <c r="HL12" s="9"/>
      <c r="HN12" s="21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9"/>
      <c r="IA12" s="8"/>
      <c r="IB12" s="21"/>
      <c r="IC12" s="8" t="s">
        <v>315</v>
      </c>
      <c r="ID12" s="28">
        <f>+ID8*II6/II8</f>
        <v>2.347826086956522</v>
      </c>
      <c r="IE12" s="28">
        <f>+IE8*II6/II8</f>
        <v>1.9565217391304348</v>
      </c>
      <c r="IF12" s="28">
        <f>+IF8*II6/II8</f>
        <v>1.9565217391304348</v>
      </c>
      <c r="IG12" s="28">
        <f>+IG8*II6/II8</f>
        <v>1.5652173913043479</v>
      </c>
      <c r="IH12" s="28">
        <f>+IH8*II6/II8</f>
        <v>1.173913043478261</v>
      </c>
      <c r="II12" s="28">
        <f>SUM(ID12:IH12)</f>
        <v>9</v>
      </c>
      <c r="IJ12" s="9"/>
      <c r="IL12" s="21"/>
      <c r="IM12" s="8" t="s">
        <v>327</v>
      </c>
      <c r="IN12" s="28">
        <f>+IN8*IS6/IS8</f>
        <v>45.501113585746104</v>
      </c>
      <c r="IO12" s="28">
        <f>+IO8*IS6/IS8</f>
        <v>50.556792873051222</v>
      </c>
      <c r="IP12" s="28">
        <f>+IP8*IS6/IS8</f>
        <v>52.579064587973271</v>
      </c>
      <c r="IQ12" s="28">
        <f>+IQ8*IS6/IS8</f>
        <v>58.14031180400891</v>
      </c>
      <c r="IR12" s="28">
        <f>+IR8*IS6/IS8</f>
        <v>20.22271714922049</v>
      </c>
      <c r="IS12" s="28">
        <f>SUM(IN12:IR12)</f>
        <v>227.00000000000003</v>
      </c>
      <c r="IT12" s="9"/>
      <c r="IV12" s="21"/>
      <c r="IW12" s="7">
        <v>7</v>
      </c>
      <c r="IX12" s="7">
        <v>9</v>
      </c>
      <c r="IY12" s="7">
        <v>7</v>
      </c>
      <c r="IZ12" s="7">
        <v>6.5</v>
      </c>
      <c r="JA12" s="7">
        <v>6</v>
      </c>
      <c r="JB12" s="7">
        <v>12</v>
      </c>
      <c r="JC12" s="7"/>
      <c r="JD12" s="10"/>
      <c r="JF12" s="21"/>
      <c r="JG12" s="7">
        <f t="shared" si="42"/>
        <v>8</v>
      </c>
      <c r="JH12" s="7">
        <v>4</v>
      </c>
      <c r="JI12" s="7">
        <v>4</v>
      </c>
      <c r="JJ12" s="7">
        <f t="shared" si="12"/>
        <v>0</v>
      </c>
      <c r="JK12" s="7"/>
      <c r="JL12" s="7"/>
      <c r="JM12" s="10"/>
      <c r="JN12" s="7"/>
      <c r="JO12" s="6"/>
      <c r="JP12" s="7">
        <f t="shared" si="43"/>
        <v>8</v>
      </c>
      <c r="JQ12" s="7">
        <v>41</v>
      </c>
      <c r="JR12" s="7">
        <v>45</v>
      </c>
      <c r="JS12" s="7">
        <f t="shared" si="13"/>
        <v>-4</v>
      </c>
      <c r="JT12" s="7"/>
      <c r="JU12" s="8">
        <v>14</v>
      </c>
      <c r="JV12" s="9"/>
    </row>
    <row r="13" spans="2:282" x14ac:dyDescent="0.35">
      <c r="B13" s="6"/>
      <c r="C13" s="7"/>
      <c r="D13" s="7"/>
      <c r="E13" s="7"/>
      <c r="F13" s="7"/>
      <c r="G13" s="7"/>
      <c r="H13" s="8"/>
      <c r="I13" s="8"/>
      <c r="J13" s="8"/>
      <c r="K13" s="9"/>
      <c r="M13" s="6"/>
      <c r="N13" s="92"/>
      <c r="O13" s="92"/>
      <c r="P13" s="92"/>
      <c r="Q13" s="92"/>
      <c r="R13" s="92"/>
      <c r="S13" s="8"/>
      <c r="T13" s="8"/>
      <c r="U13" s="8"/>
      <c r="V13" s="9"/>
      <c r="AE13" s="1"/>
      <c r="AF13" s="1"/>
      <c r="AG13" s="1"/>
      <c r="AK13" s="21"/>
      <c r="AL13" s="7" t="s">
        <v>258</v>
      </c>
      <c r="AM13" s="7">
        <f>+SUM(AM26:AM29)</f>
        <v>4</v>
      </c>
      <c r="AN13" s="7">
        <f>1-BINOMDIST(AL12,$AM$4,$AN$32,TRUE)</f>
        <v>3.6195921410093312E-2</v>
      </c>
      <c r="AO13" s="7">
        <f t="shared" si="44"/>
        <v>1.3754450135835459</v>
      </c>
      <c r="AP13" s="7">
        <f t="shared" si="45"/>
        <v>5.008043803057542</v>
      </c>
      <c r="AQ13" s="8"/>
      <c r="AR13" s="8"/>
      <c r="AS13" s="8"/>
      <c r="AT13" s="8"/>
      <c r="AU13" s="9"/>
      <c r="AW13" s="21">
        <f t="shared" si="15"/>
        <v>9</v>
      </c>
      <c r="AX13" s="25">
        <v>4.2787551289220573</v>
      </c>
      <c r="AY13" s="25">
        <v>4.5941178692883113</v>
      </c>
      <c r="AZ13" s="8">
        <f t="shared" si="3"/>
        <v>21.105918996914173</v>
      </c>
      <c r="BA13" s="7"/>
      <c r="BB13" s="8"/>
      <c r="BC13" s="8"/>
      <c r="BD13" s="8"/>
      <c r="BE13" s="8"/>
      <c r="BF13" s="8"/>
      <c r="BG13" s="8" t="s">
        <v>269</v>
      </c>
      <c r="BH13" s="8"/>
      <c r="BI13" s="8"/>
      <c r="BJ13" s="9"/>
      <c r="BK13" s="8"/>
      <c r="BL13" s="21">
        <f t="shared" si="16"/>
        <v>9</v>
      </c>
      <c r="BM13" s="25">
        <v>4.2787551289220573</v>
      </c>
      <c r="BN13" s="25">
        <v>4.5941178692883113</v>
      </c>
      <c r="BO13" s="8">
        <f t="shared" si="4"/>
        <v>21.105918996914173</v>
      </c>
      <c r="BP13" s="7"/>
      <c r="BQ13" s="7">
        <f>SUM(BQ5:BQ12)</f>
        <v>30</v>
      </c>
      <c r="BR13" s="50">
        <f>SUM(BR5:BR12)</f>
        <v>1</v>
      </c>
      <c r="BS13" s="50">
        <f t="shared" si="6"/>
        <v>30</v>
      </c>
      <c r="BT13" s="51">
        <f>SUM(BT5:BT12)</f>
        <v>1.9999999999999998</v>
      </c>
      <c r="BU13" s="8"/>
      <c r="BV13" s="8" t="s">
        <v>269</v>
      </c>
      <c r="BW13" s="8"/>
      <c r="BX13" s="8"/>
      <c r="BY13" s="9"/>
      <c r="BZ13" s="8"/>
      <c r="CA13" s="52">
        <f t="shared" si="46"/>
        <v>8</v>
      </c>
      <c r="CB13" s="53">
        <v>4.5941178692883113</v>
      </c>
      <c r="CC13" s="53">
        <v>4.4088577775764861</v>
      </c>
      <c r="CD13" s="54">
        <f t="shared" si="17"/>
        <v>0.23333333333333334</v>
      </c>
      <c r="CE13" s="54">
        <f t="shared" si="18"/>
        <v>0.26666666666666666</v>
      </c>
      <c r="CF13" s="52">
        <f t="shared" si="7"/>
        <v>0.26436085240426122</v>
      </c>
      <c r="CG13" s="54">
        <f t="shared" si="19"/>
        <v>3.1027519070927878E-2</v>
      </c>
      <c r="CH13" s="54">
        <f t="shared" si="20"/>
        <v>2.3058142624054478E-3</v>
      </c>
      <c r="CI13" s="8"/>
      <c r="CJ13" s="7" t="s">
        <v>10</v>
      </c>
      <c r="CK13" s="27">
        <f>+MAX(CG6:CH35)</f>
        <v>8.1203000096342737E-2</v>
      </c>
      <c r="CL13" s="7"/>
      <c r="CM13" s="9"/>
      <c r="CO13" s="45">
        <v>14.207281716360972</v>
      </c>
      <c r="CP13" s="33">
        <f t="shared" si="47"/>
        <v>8</v>
      </c>
      <c r="CQ13" s="45">
        <v>13.679616687520982</v>
      </c>
      <c r="CR13" s="33">
        <f t="shared" si="21"/>
        <v>0.35</v>
      </c>
      <c r="CS13" s="33">
        <f t="shared" si="22"/>
        <v>0.4</v>
      </c>
      <c r="CT13" s="45">
        <f t="shared" si="23"/>
        <v>0.36796166875209818</v>
      </c>
      <c r="CU13" s="45">
        <f t="shared" si="24"/>
        <v>1.7961668752098203E-2</v>
      </c>
      <c r="CV13" s="45">
        <f t="shared" si="25"/>
        <v>3.2038331247901841E-2</v>
      </c>
      <c r="CW13" s="8"/>
      <c r="CX13" s="7" t="s">
        <v>231</v>
      </c>
      <c r="CY13" s="7">
        <f>+CY12</f>
        <v>0.29408000000000001</v>
      </c>
      <c r="CZ13" s="13" t="s">
        <v>11</v>
      </c>
      <c r="DA13" s="8"/>
      <c r="DB13" s="9"/>
      <c r="DD13" s="45">
        <v>14.680333075957606</v>
      </c>
      <c r="DE13" s="33">
        <f t="shared" si="48"/>
        <v>8</v>
      </c>
      <c r="DF13" s="45">
        <v>14.447700247401372</v>
      </c>
      <c r="DG13" s="33">
        <f t="shared" si="26"/>
        <v>0.35</v>
      </c>
      <c r="DH13" s="33">
        <f t="shared" si="27"/>
        <v>0.4</v>
      </c>
      <c r="DI13" s="45">
        <f t="shared" si="28"/>
        <v>0.44477002474013716</v>
      </c>
      <c r="DJ13" s="45">
        <f t="shared" si="29"/>
        <v>9.4770024740137182E-2</v>
      </c>
      <c r="DK13" s="45">
        <f t="shared" si="30"/>
        <v>4.4770024740137138E-2</v>
      </c>
      <c r="DL13" s="8"/>
      <c r="DM13" s="7" t="s">
        <v>231</v>
      </c>
      <c r="DN13" s="7">
        <f>+DN12</f>
        <v>0.29408000000000001</v>
      </c>
      <c r="DO13" s="13" t="s">
        <v>11</v>
      </c>
      <c r="DP13" s="8"/>
      <c r="DQ13" s="9"/>
      <c r="DS13" s="47">
        <v>5.8536332285531181</v>
      </c>
      <c r="DT13" s="33">
        <f t="shared" si="49"/>
        <v>8</v>
      </c>
      <c r="DU13" s="47">
        <v>3.6204107791375471</v>
      </c>
      <c r="DV13" s="47">
        <f t="shared" si="31"/>
        <v>0.58333333333333337</v>
      </c>
      <c r="DW13" s="47">
        <f t="shared" si="32"/>
        <v>0.66666666666666663</v>
      </c>
      <c r="DX13" s="47">
        <f t="shared" si="33"/>
        <v>0.40510269478438676</v>
      </c>
      <c r="DY13" s="47">
        <f t="shared" si="34"/>
        <v>0.17823063854894661</v>
      </c>
      <c r="DZ13" s="47">
        <f t="shared" si="35"/>
        <v>0.26156397188227987</v>
      </c>
      <c r="EA13" s="8"/>
      <c r="EB13" s="7" t="s">
        <v>231</v>
      </c>
      <c r="EC13" s="7">
        <f>+EC12</f>
        <v>0.44905</v>
      </c>
      <c r="ED13" s="13" t="s">
        <v>11</v>
      </c>
      <c r="EE13" s="8"/>
      <c r="EF13" s="9"/>
      <c r="EH13" s="52">
        <f t="shared" si="50"/>
        <v>8</v>
      </c>
      <c r="EI13" s="47">
        <v>4.2797791037446586</v>
      </c>
      <c r="EJ13" s="47">
        <v>3.9857064974785317</v>
      </c>
      <c r="EK13" s="47">
        <f t="shared" si="36"/>
        <v>0.14000000000000001</v>
      </c>
      <c r="EL13" s="47">
        <f t="shared" si="37"/>
        <v>0.16</v>
      </c>
      <c r="EM13" s="45">
        <f t="shared" si="38"/>
        <v>0.21422271172671792</v>
      </c>
      <c r="EN13" s="45">
        <f t="shared" si="39"/>
        <v>7.4222711726717905E-2</v>
      </c>
      <c r="EO13" s="45">
        <f t="shared" si="40"/>
        <v>5.4222711726717915E-2</v>
      </c>
      <c r="EP13" s="8"/>
      <c r="EQ13" s="7" t="s">
        <v>10</v>
      </c>
      <c r="ER13" s="27">
        <f>+MAX(EN6:EO55)</f>
        <v>9.4054825455276353E-2</v>
      </c>
      <c r="ES13" s="7"/>
      <c r="ET13" s="9"/>
      <c r="EV13" s="21">
        <f t="shared" si="41"/>
        <v>9</v>
      </c>
      <c r="EW13" s="25">
        <v>4.4501661149115534</v>
      </c>
      <c r="EX13" s="25">
        <v>4.0353461498671095</v>
      </c>
      <c r="EY13" s="8">
        <f t="shared" si="8"/>
        <v>16.284018549247303</v>
      </c>
      <c r="EZ13" s="7" t="s">
        <v>106</v>
      </c>
      <c r="FA13" s="61">
        <v>4</v>
      </c>
      <c r="FB13" s="7">
        <f t="shared" si="9"/>
        <v>0.1</v>
      </c>
      <c r="FC13" s="7">
        <f t="shared" si="10"/>
        <v>5</v>
      </c>
      <c r="FD13" s="25">
        <f t="shared" si="11"/>
        <v>0.2</v>
      </c>
      <c r="FE13" s="8"/>
      <c r="FF13" s="8" t="s">
        <v>269</v>
      </c>
      <c r="FG13" s="8"/>
      <c r="FH13" s="8"/>
      <c r="FI13" s="9"/>
      <c r="FK13" s="66">
        <v>5.0874859880423173E-3</v>
      </c>
      <c r="FL13" s="8"/>
      <c r="FM13" s="8">
        <f t="shared" si="57"/>
        <v>7</v>
      </c>
      <c r="FN13" s="64">
        <v>-0.132383775053313</v>
      </c>
      <c r="FO13" s="8"/>
      <c r="FP13" s="8"/>
      <c r="FQ13" s="8"/>
      <c r="FR13" s="8"/>
      <c r="FS13" s="11" t="s">
        <v>9</v>
      </c>
      <c r="FT13" s="7">
        <v>0.05</v>
      </c>
      <c r="FU13" s="7"/>
      <c r="FV13" s="9"/>
      <c r="FX13" s="66">
        <v>5.0874859880423173E-3</v>
      </c>
      <c r="FY13" s="8"/>
      <c r="FZ13" s="8">
        <f t="shared" si="58"/>
        <v>7</v>
      </c>
      <c r="GA13" s="64">
        <v>5.0874859880423173E-3</v>
      </c>
      <c r="GB13" s="8"/>
      <c r="GC13" s="8"/>
      <c r="GD13" s="8"/>
      <c r="GE13" s="8"/>
      <c r="GF13" s="11" t="s">
        <v>9</v>
      </c>
      <c r="GG13" s="7">
        <v>0.05</v>
      </c>
      <c r="GH13" s="7"/>
      <c r="GI13" s="9"/>
      <c r="GK13" s="66">
        <v>18.115528670605272</v>
      </c>
      <c r="GL13" s="8"/>
      <c r="GM13" s="8">
        <f t="shared" si="51"/>
        <v>7</v>
      </c>
      <c r="GN13" s="63">
        <v>13.803873495489825</v>
      </c>
      <c r="GO13" s="8"/>
      <c r="GP13" s="8"/>
      <c r="GQ13" s="8"/>
      <c r="GR13" s="8"/>
      <c r="GS13" s="8"/>
      <c r="GT13" s="8"/>
      <c r="GU13" s="8"/>
      <c r="GV13" s="8"/>
      <c r="GW13" s="8"/>
      <c r="GX13" s="9"/>
      <c r="GZ13" s="21"/>
      <c r="HA13" s="31" t="s">
        <v>160</v>
      </c>
      <c r="HB13" s="8">
        <v>4</v>
      </c>
      <c r="HC13" s="8"/>
      <c r="HD13" s="8"/>
      <c r="HE13" s="8"/>
      <c r="HF13" s="8"/>
      <c r="HG13" s="8"/>
      <c r="HH13" s="8"/>
      <c r="HI13" s="8"/>
      <c r="HJ13" s="8"/>
      <c r="HK13" s="8"/>
      <c r="HL13" s="9"/>
      <c r="HN13" s="21"/>
      <c r="HO13" s="8" t="s">
        <v>156</v>
      </c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9"/>
      <c r="IA13" s="8"/>
      <c r="IB13" s="21"/>
      <c r="IC13" s="8" t="s">
        <v>316</v>
      </c>
      <c r="ID13" s="28">
        <f>+ID8*II7/II8</f>
        <v>9.6521739130434785</v>
      </c>
      <c r="IE13" s="28">
        <f>+IE8*II7/II8</f>
        <v>8.0434782608695645</v>
      </c>
      <c r="IF13" s="28">
        <f>+IF8*II7/II8</f>
        <v>8.0434782608695645</v>
      </c>
      <c r="IG13" s="28">
        <f>+IG8*II7/II8</f>
        <v>6.4347826086956523</v>
      </c>
      <c r="IH13" s="28">
        <f>+IH8*II7/II8</f>
        <v>4.8260869565217392</v>
      </c>
      <c r="II13" s="28">
        <f>SUM(ID13:IH13)</f>
        <v>37.000000000000007</v>
      </c>
      <c r="IJ13" s="9"/>
      <c r="IL13" s="21"/>
      <c r="IM13" s="8" t="s">
        <v>328</v>
      </c>
      <c r="IN13" s="28">
        <f>+IN8*IS7/IS8</f>
        <v>44.498886414253896</v>
      </c>
      <c r="IO13" s="28">
        <f>+IO8*IS7/IS8</f>
        <v>49.443207126948778</v>
      </c>
      <c r="IP13" s="28">
        <f>+IP8*IS7/IS8</f>
        <v>51.420935412026729</v>
      </c>
      <c r="IQ13" s="28">
        <f>+IQ8*IS7/IS8</f>
        <v>56.85968819599109</v>
      </c>
      <c r="IR13" s="28">
        <f>+IR8*IS7/IS8</f>
        <v>19.77728285077951</v>
      </c>
      <c r="IS13" s="28">
        <f>SUM(IN13:IR13)</f>
        <v>221.99999999999997</v>
      </c>
      <c r="IT13" s="9"/>
      <c r="IV13" s="21"/>
      <c r="IW13" s="7">
        <v>2</v>
      </c>
      <c r="IX13" s="7">
        <v>7.5</v>
      </c>
      <c r="IY13" s="7">
        <v>7</v>
      </c>
      <c r="IZ13" s="7">
        <v>7</v>
      </c>
      <c r="JA13" s="7">
        <v>6.5</v>
      </c>
      <c r="JB13" s="7">
        <v>14</v>
      </c>
      <c r="JC13" s="7">
        <v>6.5</v>
      </c>
      <c r="JD13" s="10">
        <v>14</v>
      </c>
      <c r="JF13" s="21"/>
      <c r="JG13" s="7">
        <f t="shared" si="42"/>
        <v>9</v>
      </c>
      <c r="JH13" s="7">
        <v>5</v>
      </c>
      <c r="JI13" s="7">
        <v>8</v>
      </c>
      <c r="JJ13" s="7">
        <f t="shared" si="12"/>
        <v>-3</v>
      </c>
      <c r="JK13" s="7"/>
      <c r="JL13" s="7">
        <v>5</v>
      </c>
      <c r="JM13" s="10"/>
      <c r="JN13" s="7"/>
      <c r="JO13" s="6"/>
      <c r="JP13" s="7">
        <f t="shared" si="43"/>
        <v>9</v>
      </c>
      <c r="JQ13" s="7">
        <v>29</v>
      </c>
      <c r="JR13" s="7">
        <v>36</v>
      </c>
      <c r="JS13" s="7">
        <f t="shared" si="13"/>
        <v>-7</v>
      </c>
      <c r="JT13" s="7"/>
      <c r="JU13" s="8">
        <v>20</v>
      </c>
      <c r="JV13" s="9"/>
    </row>
    <row r="14" spans="2:282" ht="16.5" x14ac:dyDescent="0.45">
      <c r="B14" s="6"/>
      <c r="C14" s="14" t="s">
        <v>235</v>
      </c>
      <c r="D14" s="7"/>
      <c r="E14" s="7"/>
      <c r="F14" s="7"/>
      <c r="G14" s="7"/>
      <c r="H14" s="8"/>
      <c r="I14" s="19" t="s">
        <v>234</v>
      </c>
      <c r="J14" s="28">
        <f>CHIDIST(J11,J6)</f>
        <v>0.60381383977301761</v>
      </c>
      <c r="K14" s="9"/>
      <c r="M14" s="6"/>
      <c r="N14" s="14" t="s">
        <v>235</v>
      </c>
      <c r="O14" s="92"/>
      <c r="P14" s="92"/>
      <c r="Q14" s="92"/>
      <c r="R14" s="92"/>
      <c r="S14" s="8"/>
      <c r="T14" s="19" t="s">
        <v>234</v>
      </c>
      <c r="U14" s="28">
        <f>CHIDIST(U11,U6)</f>
        <v>1.0018825285965753E-3</v>
      </c>
      <c r="V14" s="9"/>
      <c r="AK14" s="21"/>
      <c r="AL14" s="7"/>
      <c r="AM14" s="7">
        <f>SUM(AM8:AM13)</f>
        <v>38</v>
      </c>
      <c r="AN14" s="7">
        <f>SUM(AN8:AN13)</f>
        <v>1</v>
      </c>
      <c r="AO14" s="7">
        <f>SUM(AO8:AO13)</f>
        <v>38</v>
      </c>
      <c r="AP14" s="7">
        <f>SUM(AP8:AP13)</f>
        <v>6.9745423579378762</v>
      </c>
      <c r="AQ14" s="8"/>
      <c r="AR14" s="19" t="s">
        <v>234</v>
      </c>
      <c r="AS14" s="8">
        <f>CHIDIST(AS11,AS6)</f>
        <v>0.13723967663250983</v>
      </c>
      <c r="AT14" s="8"/>
      <c r="AU14" s="9"/>
      <c r="AW14" s="21">
        <f t="shared" si="15"/>
        <v>10</v>
      </c>
      <c r="AX14" s="25">
        <v>6.8167455689545022</v>
      </c>
      <c r="AY14" s="25">
        <v>4.7600040185498074</v>
      </c>
      <c r="AZ14" s="8">
        <f t="shared" si="3"/>
        <v>22.657638256610316</v>
      </c>
      <c r="BA14" s="7"/>
      <c r="BB14" s="8"/>
      <c r="BC14" s="8"/>
      <c r="BD14" s="8"/>
      <c r="BE14" s="8"/>
      <c r="BF14" s="8"/>
      <c r="BG14" s="8"/>
      <c r="BH14" s="8"/>
      <c r="BI14" s="8"/>
      <c r="BJ14" s="9"/>
      <c r="BK14" s="8"/>
      <c r="BL14" s="21">
        <f t="shared" si="16"/>
        <v>10</v>
      </c>
      <c r="BM14" s="25">
        <v>6.8167455689545022</v>
      </c>
      <c r="BN14" s="25">
        <v>4.7600040185498074</v>
      </c>
      <c r="BO14" s="8">
        <f t="shared" si="4"/>
        <v>22.657638256610316</v>
      </c>
      <c r="BP14" s="7"/>
      <c r="BQ14" s="8"/>
      <c r="BR14" s="8"/>
      <c r="BS14" s="8"/>
      <c r="BT14" s="8"/>
      <c r="BU14" s="8"/>
      <c r="BV14" s="8"/>
      <c r="BW14" s="8"/>
      <c r="BX14" s="8"/>
      <c r="BY14" s="9"/>
      <c r="BZ14" s="8"/>
      <c r="CA14" s="52">
        <f t="shared" si="46"/>
        <v>9</v>
      </c>
      <c r="CB14" s="53">
        <v>4.2787551289220573</v>
      </c>
      <c r="CC14" s="53">
        <v>4.5941178692883113</v>
      </c>
      <c r="CD14" s="54">
        <f t="shared" si="17"/>
        <v>0.26666666666666666</v>
      </c>
      <c r="CE14" s="54">
        <f t="shared" si="18"/>
        <v>0.3</v>
      </c>
      <c r="CF14" s="52">
        <f t="shared" si="7"/>
        <v>0.30377592276995069</v>
      </c>
      <c r="CG14" s="54">
        <f t="shared" si="19"/>
        <v>3.7109256103284027E-2</v>
      </c>
      <c r="CH14" s="54">
        <f t="shared" si="20"/>
        <v>3.7759227699507014E-3</v>
      </c>
      <c r="CI14" s="8"/>
      <c r="CJ14" s="7"/>
      <c r="CK14" s="7"/>
      <c r="CL14" s="7"/>
      <c r="CM14" s="9"/>
      <c r="CO14" s="45">
        <v>19.948728904080326</v>
      </c>
      <c r="CP14" s="33">
        <f t="shared" si="47"/>
        <v>9</v>
      </c>
      <c r="CQ14" s="45">
        <v>13.729972228156377</v>
      </c>
      <c r="CR14" s="33">
        <f t="shared" si="21"/>
        <v>0.4</v>
      </c>
      <c r="CS14" s="33">
        <f t="shared" si="22"/>
        <v>0.45</v>
      </c>
      <c r="CT14" s="45">
        <f t="shared" si="23"/>
        <v>0.37299722281563774</v>
      </c>
      <c r="CU14" s="45">
        <f t="shared" si="24"/>
        <v>2.7002777184362281E-2</v>
      </c>
      <c r="CV14" s="45">
        <f t="shared" si="25"/>
        <v>7.700277718436227E-2</v>
      </c>
      <c r="CW14" s="8"/>
      <c r="CX14" s="7" t="s">
        <v>232</v>
      </c>
      <c r="CY14" s="13">
        <v>0</v>
      </c>
      <c r="CZ14" s="7">
        <f>+CY13</f>
        <v>0.29408000000000001</v>
      </c>
      <c r="DA14" s="8"/>
      <c r="DB14" s="9"/>
      <c r="DD14" s="45">
        <v>10.01902493648231</v>
      </c>
      <c r="DE14" s="33">
        <f t="shared" si="48"/>
        <v>9</v>
      </c>
      <c r="DF14" s="45">
        <v>14.537610619881889</v>
      </c>
      <c r="DG14" s="33">
        <f t="shared" si="26"/>
        <v>0.4</v>
      </c>
      <c r="DH14" s="33">
        <f t="shared" si="27"/>
        <v>0.45</v>
      </c>
      <c r="DI14" s="45">
        <f t="shared" si="28"/>
        <v>0.45376106198818889</v>
      </c>
      <c r="DJ14" s="45">
        <f t="shared" si="29"/>
        <v>5.3761061988188863E-2</v>
      </c>
      <c r="DK14" s="45">
        <f t="shared" si="30"/>
        <v>3.7610619881888741E-3</v>
      </c>
      <c r="DL14" s="8"/>
      <c r="DM14" s="7" t="s">
        <v>232</v>
      </c>
      <c r="DN14" s="13">
        <v>0</v>
      </c>
      <c r="DO14" s="7">
        <f>+DN13</f>
        <v>0.29408000000000001</v>
      </c>
      <c r="DP14" s="8"/>
      <c r="DQ14" s="9"/>
      <c r="DS14" s="47">
        <v>5.4307687612537006</v>
      </c>
      <c r="DT14" s="33">
        <f t="shared" si="49"/>
        <v>9</v>
      </c>
      <c r="DU14" s="47">
        <v>4.6944181646168399</v>
      </c>
      <c r="DV14" s="47">
        <f t="shared" si="31"/>
        <v>0.66666666666666663</v>
      </c>
      <c r="DW14" s="47">
        <f t="shared" si="32"/>
        <v>0.75</v>
      </c>
      <c r="DX14" s="47">
        <f t="shared" si="33"/>
        <v>0.67360454115420998</v>
      </c>
      <c r="DY14" s="47">
        <f t="shared" si="34"/>
        <v>6.9378744875433496E-3</v>
      </c>
      <c r="DZ14" s="47">
        <f t="shared" si="35"/>
        <v>7.6395458845790021E-2</v>
      </c>
      <c r="EA14" s="8"/>
      <c r="EB14" s="7" t="s">
        <v>232</v>
      </c>
      <c r="EC14" s="13">
        <v>0</v>
      </c>
      <c r="ED14" s="7">
        <f>+EC13</f>
        <v>0.44905</v>
      </c>
      <c r="EE14" s="8"/>
      <c r="EF14" s="9"/>
      <c r="EH14" s="52">
        <f t="shared" si="50"/>
        <v>9</v>
      </c>
      <c r="EI14" s="47">
        <v>4.4501661149115534</v>
      </c>
      <c r="EJ14" s="47">
        <v>4.0353461498671095</v>
      </c>
      <c r="EK14" s="47">
        <f t="shared" si="36"/>
        <v>0.16</v>
      </c>
      <c r="EL14" s="47">
        <f t="shared" si="37"/>
        <v>0.18</v>
      </c>
      <c r="EM14" s="45">
        <f t="shared" si="38"/>
        <v>0.22398950480963972</v>
      </c>
      <c r="EN14" s="45">
        <f t="shared" si="39"/>
        <v>6.3989504809639719E-2</v>
      </c>
      <c r="EO14" s="45">
        <f t="shared" si="40"/>
        <v>4.3989504809639729E-2</v>
      </c>
      <c r="EP14" s="8"/>
      <c r="EQ14" s="7"/>
      <c r="ER14" s="7"/>
      <c r="ES14" s="7"/>
      <c r="ET14" s="9"/>
      <c r="EV14" s="21">
        <f t="shared" si="41"/>
        <v>10</v>
      </c>
      <c r="EW14" s="25">
        <v>6.4118984381639166</v>
      </c>
      <c r="EX14" s="25">
        <v>4.1813422184350202</v>
      </c>
      <c r="EY14" s="8">
        <f t="shared" si="8"/>
        <v>17.483622747667095</v>
      </c>
      <c r="EZ14" s="7" t="s">
        <v>107</v>
      </c>
      <c r="FA14" s="62">
        <v>4</v>
      </c>
      <c r="FB14" s="7">
        <f t="shared" si="9"/>
        <v>0.1</v>
      </c>
      <c r="FC14" s="7">
        <f t="shared" si="10"/>
        <v>5</v>
      </c>
      <c r="FD14" s="25">
        <f t="shared" si="11"/>
        <v>0.2</v>
      </c>
      <c r="FE14" s="8"/>
      <c r="FF14" s="8"/>
      <c r="FG14" s="8"/>
      <c r="FH14" s="8"/>
      <c r="FI14" s="9"/>
      <c r="FK14" s="66">
        <v>1.5363411876023747</v>
      </c>
      <c r="FL14" s="8"/>
      <c r="FM14" s="8">
        <f t="shared" si="57"/>
        <v>8</v>
      </c>
      <c r="FN14" s="64">
        <v>5.0874859880423173E-3</v>
      </c>
      <c r="FO14" s="8"/>
      <c r="FP14" s="8"/>
      <c r="FQ14" s="8"/>
      <c r="FR14" s="8"/>
      <c r="FS14" s="7" t="s">
        <v>7</v>
      </c>
      <c r="FT14" s="7">
        <v>10</v>
      </c>
      <c r="FU14" s="7"/>
      <c r="FV14" s="9"/>
      <c r="FX14" s="66">
        <v>1.5363411876023747</v>
      </c>
      <c r="FY14" s="8"/>
      <c r="FZ14" s="8">
        <f t="shared" si="58"/>
        <v>8</v>
      </c>
      <c r="GA14" s="64">
        <v>0.79210849435185082</v>
      </c>
      <c r="GB14" s="8"/>
      <c r="GC14" s="8"/>
      <c r="GD14" s="8"/>
      <c r="GE14" s="8"/>
      <c r="GF14" s="7" t="s">
        <v>7</v>
      </c>
      <c r="GG14" s="7">
        <v>10</v>
      </c>
      <c r="GH14" s="7"/>
      <c r="GI14" s="9"/>
      <c r="GK14" s="66">
        <v>15.118898242362775</v>
      </c>
      <c r="GL14" s="8"/>
      <c r="GM14" s="8">
        <f t="shared" si="51"/>
        <v>8</v>
      </c>
      <c r="GN14" s="63">
        <v>14.104425114637706</v>
      </c>
      <c r="GO14" s="8"/>
      <c r="GP14" s="8"/>
      <c r="GQ14" s="8"/>
      <c r="GR14" s="8"/>
      <c r="GS14" s="8"/>
      <c r="GT14" s="8"/>
      <c r="GU14" s="8"/>
      <c r="GV14" s="8"/>
      <c r="GW14" s="8"/>
      <c r="GX14" s="9"/>
      <c r="GZ14" s="21"/>
      <c r="HA14" s="31" t="s">
        <v>161</v>
      </c>
      <c r="HB14" s="8">
        <v>2</v>
      </c>
      <c r="HC14" s="8"/>
      <c r="HD14" s="8"/>
      <c r="HE14" s="8"/>
      <c r="HF14" s="8"/>
      <c r="HG14" s="8"/>
      <c r="HH14" s="8"/>
      <c r="HI14" s="8"/>
      <c r="HJ14" s="8"/>
      <c r="HK14" s="8"/>
      <c r="HL14" s="9"/>
      <c r="HN14" s="21"/>
      <c r="HO14" s="31" t="s">
        <v>157</v>
      </c>
      <c r="HP14" s="8">
        <v>0.05</v>
      </c>
      <c r="HQ14" s="8"/>
      <c r="HR14" s="8"/>
      <c r="HS14" s="8"/>
      <c r="HT14" s="8"/>
      <c r="HU14" s="8"/>
      <c r="HV14" s="8"/>
      <c r="HW14" s="8"/>
      <c r="HX14" s="8"/>
      <c r="HY14" s="8"/>
      <c r="HZ14" s="9"/>
      <c r="IA14" s="8"/>
      <c r="IB14" s="21"/>
      <c r="IC14" s="8" t="s">
        <v>185</v>
      </c>
      <c r="ID14" s="28">
        <f t="shared" ref="ID14:IH14" si="59">SUM(ID12:ID13)</f>
        <v>12</v>
      </c>
      <c r="IE14" s="28">
        <f t="shared" si="59"/>
        <v>10</v>
      </c>
      <c r="IF14" s="28">
        <f t="shared" si="59"/>
        <v>10</v>
      </c>
      <c r="IG14" s="28">
        <f t="shared" si="59"/>
        <v>8</v>
      </c>
      <c r="IH14" s="28">
        <f t="shared" si="59"/>
        <v>6</v>
      </c>
      <c r="II14" s="28">
        <f>SUM(II12:II13)</f>
        <v>46.000000000000007</v>
      </c>
      <c r="IJ14" s="9"/>
      <c r="IL14" s="21"/>
      <c r="IM14" s="8" t="s">
        <v>185</v>
      </c>
      <c r="IN14" s="28">
        <f t="shared" ref="IN14" si="60">SUM(IN12:IN13)</f>
        <v>90</v>
      </c>
      <c r="IO14" s="28">
        <f t="shared" ref="IO14" si="61">SUM(IO12:IO13)</f>
        <v>100</v>
      </c>
      <c r="IP14" s="28">
        <f t="shared" ref="IP14" si="62">SUM(IP12:IP13)</f>
        <v>104</v>
      </c>
      <c r="IQ14" s="28">
        <f t="shared" ref="IQ14" si="63">SUM(IQ12:IQ13)</f>
        <v>115</v>
      </c>
      <c r="IR14" s="28">
        <f t="shared" ref="IR14" si="64">SUM(IR12:IR13)</f>
        <v>40</v>
      </c>
      <c r="IS14" s="28">
        <f>SUM(IS12:IS13)</f>
        <v>449</v>
      </c>
      <c r="IT14" s="9"/>
      <c r="IV14" s="21"/>
      <c r="IW14" s="7">
        <v>5.5</v>
      </c>
      <c r="IX14" s="7">
        <v>4</v>
      </c>
      <c r="IY14" s="7">
        <v>8.5</v>
      </c>
      <c r="IZ14" s="7">
        <v>7.5</v>
      </c>
      <c r="JA14" s="7">
        <v>7</v>
      </c>
      <c r="JB14" s="7">
        <v>17</v>
      </c>
      <c r="JC14" s="7">
        <v>7</v>
      </c>
      <c r="JD14" s="10">
        <v>17</v>
      </c>
      <c r="JF14" s="21"/>
      <c r="JG14" s="7">
        <f>1+JG13</f>
        <v>10</v>
      </c>
      <c r="JH14" s="7">
        <v>6</v>
      </c>
      <c r="JI14" s="7">
        <v>4</v>
      </c>
      <c r="JJ14" s="7">
        <f t="shared" si="12"/>
        <v>2</v>
      </c>
      <c r="JK14" s="7">
        <v>2.5</v>
      </c>
      <c r="JL14" s="7"/>
      <c r="JM14" s="10"/>
      <c r="JN14" s="7"/>
      <c r="JO14" s="6"/>
      <c r="JP14" s="7">
        <f t="shared" si="43"/>
        <v>10</v>
      </c>
      <c r="JQ14" s="7">
        <v>36</v>
      </c>
      <c r="JR14" s="7">
        <v>42</v>
      </c>
      <c r="JS14" s="7">
        <f t="shared" si="13"/>
        <v>-6</v>
      </c>
      <c r="JT14" s="7"/>
      <c r="JU14" s="8">
        <v>18</v>
      </c>
      <c r="JV14" s="9"/>
    </row>
    <row r="15" spans="2:282" ht="17.5" x14ac:dyDescent="0.45">
      <c r="B15" s="6"/>
      <c r="C15" s="7" t="s">
        <v>3</v>
      </c>
      <c r="D15" s="7" t="s">
        <v>4</v>
      </c>
      <c r="E15" s="7" t="s">
        <v>5</v>
      </c>
      <c r="F15" s="7" t="s">
        <v>22</v>
      </c>
      <c r="G15" s="7"/>
      <c r="H15" s="8"/>
      <c r="I15" s="8"/>
      <c r="J15" s="8"/>
      <c r="K15" s="9"/>
      <c r="M15" s="6"/>
      <c r="N15" s="92" t="s">
        <v>3</v>
      </c>
      <c r="O15" s="92" t="s">
        <v>4</v>
      </c>
      <c r="P15" s="92" t="s">
        <v>5</v>
      </c>
      <c r="Q15" s="92" t="s">
        <v>22</v>
      </c>
      <c r="R15" s="92"/>
      <c r="S15" s="8"/>
      <c r="T15" s="8"/>
      <c r="U15" s="8"/>
      <c r="V15" s="9"/>
      <c r="X15" s="2" t="s">
        <v>242</v>
      </c>
      <c r="Y15" s="3"/>
      <c r="Z15" s="3"/>
      <c r="AA15" s="3"/>
      <c r="AB15" s="3"/>
      <c r="AC15" s="3" t="s">
        <v>228</v>
      </c>
      <c r="AD15" s="3"/>
      <c r="AE15" s="4"/>
      <c r="AF15" s="4"/>
      <c r="AG15" s="4"/>
      <c r="AH15" s="4"/>
      <c r="AI15" s="5"/>
      <c r="AK15" s="21"/>
      <c r="AL15" s="7"/>
      <c r="AM15" s="7"/>
      <c r="AN15" s="7"/>
      <c r="AO15" s="7"/>
      <c r="AP15" s="7"/>
      <c r="AQ15" s="8"/>
      <c r="AR15" s="19" t="s">
        <v>253</v>
      </c>
      <c r="AS15" s="8" t="s">
        <v>254</v>
      </c>
      <c r="AT15" s="8"/>
      <c r="AU15" s="9"/>
      <c r="AW15" s="21">
        <f t="shared" si="15"/>
        <v>11</v>
      </c>
      <c r="AX15" s="25">
        <v>3.7312631926906761</v>
      </c>
      <c r="AY15" s="25">
        <v>4.8252244520481327</v>
      </c>
      <c r="AZ15" s="8">
        <f t="shared" si="3"/>
        <v>23.282791012643202</v>
      </c>
      <c r="BA15" s="7"/>
      <c r="BB15" s="8"/>
      <c r="BC15" s="8"/>
      <c r="BD15" s="8"/>
      <c r="BE15" s="8"/>
      <c r="BF15" s="8"/>
      <c r="BG15" s="19" t="s">
        <v>234</v>
      </c>
      <c r="BH15" s="8">
        <f>CHIDIST(BH11,BH6)</f>
        <v>0.22313016014842987</v>
      </c>
      <c r="BI15" s="8"/>
      <c r="BJ15" s="9"/>
      <c r="BK15" s="8"/>
      <c r="BL15" s="21">
        <f t="shared" si="16"/>
        <v>11</v>
      </c>
      <c r="BM15" s="25">
        <v>3.7312631926906761</v>
      </c>
      <c r="BN15" s="25">
        <v>4.8252244520481327</v>
      </c>
      <c r="BO15" s="8">
        <f t="shared" si="4"/>
        <v>23.282791012643202</v>
      </c>
      <c r="BP15" s="7"/>
      <c r="BQ15" s="8"/>
      <c r="BR15" s="8"/>
      <c r="BS15" s="8"/>
      <c r="BT15" s="8"/>
      <c r="BU15" s="8"/>
      <c r="BV15" s="19" t="s">
        <v>234</v>
      </c>
      <c r="BW15" s="8">
        <f>CHIDIST(BW11,BW6)</f>
        <v>0.84914503608460967</v>
      </c>
      <c r="BX15" s="8"/>
      <c r="BY15" s="9"/>
      <c r="BZ15" s="8"/>
      <c r="CA15" s="52">
        <f t="shared" si="46"/>
        <v>10</v>
      </c>
      <c r="CB15" s="53">
        <v>6.8167455689545022</v>
      </c>
      <c r="CC15" s="53">
        <v>4.7600040185498074</v>
      </c>
      <c r="CD15" s="54">
        <f t="shared" si="17"/>
        <v>0.3</v>
      </c>
      <c r="CE15" s="54">
        <f t="shared" si="18"/>
        <v>0.33333333333333331</v>
      </c>
      <c r="CF15" s="52">
        <f t="shared" si="7"/>
        <v>0.34113949889125295</v>
      </c>
      <c r="CG15" s="54">
        <f t="shared" si="19"/>
        <v>4.1139498891252957E-2</v>
      </c>
      <c r="CH15" s="54">
        <f t="shared" si="20"/>
        <v>7.806165557919631E-3</v>
      </c>
      <c r="CI15" s="8"/>
      <c r="CJ15" s="8" t="s">
        <v>269</v>
      </c>
      <c r="CK15" s="8"/>
      <c r="CL15" s="8"/>
      <c r="CM15" s="9"/>
      <c r="CO15" s="45">
        <v>10.385753959776604</v>
      </c>
      <c r="CP15" s="33">
        <f t="shared" si="47"/>
        <v>10</v>
      </c>
      <c r="CQ15" s="45">
        <v>14.207281716360972</v>
      </c>
      <c r="CR15" s="33">
        <f t="shared" si="21"/>
        <v>0.45</v>
      </c>
      <c r="CS15" s="33">
        <f t="shared" si="22"/>
        <v>0.5</v>
      </c>
      <c r="CT15" s="45">
        <f t="shared" si="23"/>
        <v>0.42072817163609721</v>
      </c>
      <c r="CU15" s="45">
        <f t="shared" si="24"/>
        <v>2.9271828363902797E-2</v>
      </c>
      <c r="CV15" s="45">
        <f t="shared" si="25"/>
        <v>7.9271828363902785E-2</v>
      </c>
      <c r="CW15" s="8"/>
      <c r="CX15" s="7"/>
      <c r="CY15" s="7"/>
      <c r="CZ15" s="7"/>
      <c r="DA15" s="8"/>
      <c r="DB15" s="9"/>
      <c r="DD15" s="45">
        <v>14.621923052472994</v>
      </c>
      <c r="DE15" s="33">
        <f t="shared" si="48"/>
        <v>10</v>
      </c>
      <c r="DF15" s="45">
        <v>14.621923052472994</v>
      </c>
      <c r="DG15" s="33">
        <f t="shared" si="26"/>
        <v>0.45</v>
      </c>
      <c r="DH15" s="33">
        <f t="shared" si="27"/>
        <v>0.5</v>
      </c>
      <c r="DI15" s="45">
        <f t="shared" si="28"/>
        <v>0.46219230524729937</v>
      </c>
      <c r="DJ15" s="45">
        <f t="shared" si="29"/>
        <v>1.2192305247299362E-2</v>
      </c>
      <c r="DK15" s="45">
        <f t="shared" si="30"/>
        <v>3.7807694752700627E-2</v>
      </c>
      <c r="DL15" s="8"/>
      <c r="DM15" s="7"/>
      <c r="DN15" s="7"/>
      <c r="DO15" s="7"/>
      <c r="DP15" s="8"/>
      <c r="DQ15" s="9"/>
      <c r="DS15" s="47">
        <v>2.9399700918607135</v>
      </c>
      <c r="DT15" s="33">
        <f t="shared" si="49"/>
        <v>10</v>
      </c>
      <c r="DU15" s="47">
        <v>5.4307687612537006</v>
      </c>
      <c r="DV15" s="47">
        <f t="shared" si="31"/>
        <v>0.75</v>
      </c>
      <c r="DW15" s="47">
        <f t="shared" si="32"/>
        <v>0.83333333333333337</v>
      </c>
      <c r="DX15" s="47">
        <f t="shared" si="33"/>
        <v>0.85769219031342514</v>
      </c>
      <c r="DY15" s="47">
        <f t="shared" si="34"/>
        <v>0.10769219031342514</v>
      </c>
      <c r="DZ15" s="47">
        <f t="shared" si="35"/>
        <v>2.435885698009177E-2</v>
      </c>
      <c r="EA15" s="8"/>
      <c r="EB15" s="7"/>
      <c r="EC15" s="7"/>
      <c r="ED15" s="7"/>
      <c r="EE15" s="8"/>
      <c r="EF15" s="9"/>
      <c r="EH15" s="52">
        <f t="shared" si="50"/>
        <v>10</v>
      </c>
      <c r="EI15" s="47">
        <v>6.4118984381639166</v>
      </c>
      <c r="EJ15" s="47">
        <v>4.1813422184350202</v>
      </c>
      <c r="EK15" s="47">
        <f t="shared" si="36"/>
        <v>0.18</v>
      </c>
      <c r="EL15" s="47">
        <f t="shared" si="37"/>
        <v>0.2</v>
      </c>
      <c r="EM15" s="45">
        <f t="shared" si="38"/>
        <v>0.25413383266619427</v>
      </c>
      <c r="EN15" s="45">
        <f t="shared" si="39"/>
        <v>7.4133832666194277E-2</v>
      </c>
      <c r="EO15" s="45">
        <f t="shared" si="40"/>
        <v>5.4133832666194259E-2</v>
      </c>
      <c r="EP15" s="8"/>
      <c r="EQ15" s="8" t="s">
        <v>269</v>
      </c>
      <c r="ER15" s="8"/>
      <c r="ES15" s="8"/>
      <c r="ET15" s="9"/>
      <c r="EV15" s="21">
        <f t="shared" si="41"/>
        <v>11</v>
      </c>
      <c r="EW15" s="25">
        <v>5.7933374490676215</v>
      </c>
      <c r="EX15" s="25">
        <v>4.2056086739466991</v>
      </c>
      <c r="EY15" s="8">
        <f t="shared" si="8"/>
        <v>17.687144318375712</v>
      </c>
      <c r="EZ15" s="7"/>
      <c r="FA15" s="7">
        <f>SUM(FA5:FA14)</f>
        <v>50</v>
      </c>
      <c r="FB15" s="19">
        <f>SUM(FB5:FB14)</f>
        <v>0.99999999999999989</v>
      </c>
      <c r="FC15" s="19">
        <f>SUM(FC5:FC14)</f>
        <v>50</v>
      </c>
      <c r="FD15" s="25">
        <f>SUM(FD5:FD14)</f>
        <v>11.2</v>
      </c>
      <c r="FE15" s="8"/>
      <c r="FF15" s="19" t="s">
        <v>234</v>
      </c>
      <c r="FG15" s="8">
        <f>CHIDIST(FG11,FG6)</f>
        <v>0.13012991728403564</v>
      </c>
      <c r="FH15" s="8"/>
      <c r="FI15" s="9"/>
      <c r="FK15" s="66">
        <v>-0.3348282007209491</v>
      </c>
      <c r="FL15" s="8"/>
      <c r="FM15" s="8">
        <f t="shared" si="57"/>
        <v>9</v>
      </c>
      <c r="FN15" s="64">
        <v>0.79210849435185082</v>
      </c>
      <c r="FO15" s="8"/>
      <c r="FP15" s="8"/>
      <c r="FQ15" s="8"/>
      <c r="FR15" s="8"/>
      <c r="FS15" s="7" t="s">
        <v>8</v>
      </c>
      <c r="FT15" s="27">
        <v>0.84199999999999997</v>
      </c>
      <c r="FU15" s="7"/>
      <c r="FV15" s="9"/>
      <c r="FX15" s="66">
        <v>-0.3348282007209491</v>
      </c>
      <c r="FY15" s="8"/>
      <c r="FZ15" s="8">
        <f t="shared" si="58"/>
        <v>9</v>
      </c>
      <c r="GA15" s="64">
        <v>1.5363411876023747</v>
      </c>
      <c r="GB15" s="8"/>
      <c r="GC15" s="8"/>
      <c r="GD15" s="8"/>
      <c r="GE15" s="8"/>
      <c r="GF15" s="7" t="s">
        <v>8</v>
      </c>
      <c r="GG15" s="27">
        <v>0.84199999999999997</v>
      </c>
      <c r="GH15" s="7"/>
      <c r="GI15" s="9"/>
      <c r="GK15" s="66">
        <v>15.650802576274145</v>
      </c>
      <c r="GL15" s="8"/>
      <c r="GM15" s="8">
        <f t="shared" si="51"/>
        <v>9</v>
      </c>
      <c r="GN15" s="63">
        <v>14.341753209591843</v>
      </c>
      <c r="GO15" s="8"/>
      <c r="GP15" s="8"/>
      <c r="GQ15" s="8"/>
      <c r="GR15" s="8"/>
      <c r="GS15" s="8"/>
      <c r="GT15" s="8"/>
      <c r="GU15" s="8"/>
      <c r="GV15" s="8"/>
      <c r="GW15" s="8"/>
      <c r="GX15" s="9"/>
      <c r="GZ15" s="21"/>
      <c r="HA15" s="31" t="s">
        <v>162</v>
      </c>
      <c r="HB15" s="8">
        <v>9</v>
      </c>
      <c r="HC15" s="8"/>
      <c r="HD15" s="8"/>
      <c r="HE15" s="8"/>
      <c r="HF15" s="8"/>
      <c r="HG15" s="8"/>
      <c r="HH15" s="8"/>
      <c r="HI15" s="8"/>
      <c r="HJ15" s="8"/>
      <c r="HK15" s="8"/>
      <c r="HL15" s="9"/>
      <c r="HN15" s="21"/>
      <c r="HO15" s="31" t="s">
        <v>158</v>
      </c>
      <c r="HP15" s="8">
        <f>+HP14/2</f>
        <v>2.5000000000000001E-2</v>
      </c>
      <c r="HQ15" s="8"/>
      <c r="HR15" s="8"/>
      <c r="HS15" s="8"/>
      <c r="HT15" s="8"/>
      <c r="HU15" s="8"/>
      <c r="HV15" s="8"/>
      <c r="HW15" s="8"/>
      <c r="HX15" s="8"/>
      <c r="HY15" s="8"/>
      <c r="HZ15" s="9"/>
      <c r="IA15" s="8"/>
      <c r="IB15" s="21"/>
      <c r="IC15" s="8"/>
      <c r="ID15" s="8"/>
      <c r="IE15" s="8"/>
      <c r="IF15" s="8"/>
      <c r="IG15" s="8"/>
      <c r="IH15" s="8"/>
      <c r="II15" s="8"/>
      <c r="IJ15" s="9"/>
      <c r="IL15" s="21"/>
      <c r="IM15" s="8"/>
      <c r="IN15" s="8"/>
      <c r="IO15" s="8"/>
      <c r="IP15" s="8"/>
      <c r="IQ15" s="8"/>
      <c r="IR15" s="8"/>
      <c r="IS15" s="8"/>
      <c r="IT15" s="9"/>
      <c r="IV15" s="21"/>
      <c r="IW15" s="8"/>
      <c r="IX15" s="7">
        <v>4.5</v>
      </c>
      <c r="IY15" s="8"/>
      <c r="IZ15" s="7">
        <v>8</v>
      </c>
      <c r="JA15" s="7"/>
      <c r="JB15" s="7"/>
      <c r="JC15" s="7">
        <v>7.5</v>
      </c>
      <c r="JD15" s="10">
        <v>19</v>
      </c>
      <c r="JF15" s="21"/>
      <c r="JG15" s="7">
        <f t="shared" si="42"/>
        <v>11</v>
      </c>
      <c r="JH15" s="7">
        <v>2</v>
      </c>
      <c r="JI15" s="7">
        <v>6</v>
      </c>
      <c r="JJ15" s="7">
        <f t="shared" si="12"/>
        <v>-4</v>
      </c>
      <c r="JK15" s="7"/>
      <c r="JL15" s="7">
        <v>8.5</v>
      </c>
      <c r="JM15" s="10"/>
      <c r="JN15" s="7"/>
      <c r="JO15" s="6"/>
      <c r="JP15" s="7">
        <f t="shared" si="43"/>
        <v>11</v>
      </c>
      <c r="JQ15" s="7">
        <v>30</v>
      </c>
      <c r="JR15" s="7">
        <v>40</v>
      </c>
      <c r="JS15" s="7">
        <f t="shared" si="13"/>
        <v>-10</v>
      </c>
      <c r="JT15" s="7"/>
      <c r="JU15" s="8">
        <v>23</v>
      </c>
      <c r="JV15" s="9"/>
    </row>
    <row r="16" spans="2:282" x14ac:dyDescent="0.35">
      <c r="B16" s="6"/>
      <c r="C16" s="7">
        <v>0</v>
      </c>
      <c r="D16" s="7">
        <v>4</v>
      </c>
      <c r="E16" s="7">
        <f t="shared" ref="E16:E24" si="65">+C16*D16</f>
        <v>0</v>
      </c>
      <c r="F16" s="7">
        <f>+C16^2*D16</f>
        <v>0</v>
      </c>
      <c r="G16" s="7"/>
      <c r="H16" s="8"/>
      <c r="I16" s="8"/>
      <c r="J16" s="8"/>
      <c r="K16" s="9"/>
      <c r="M16" s="6"/>
      <c r="N16" s="92">
        <v>0</v>
      </c>
      <c r="O16" s="92">
        <v>6</v>
      </c>
      <c r="P16" s="92">
        <f t="shared" ref="P16:P24" si="66">+N16*O16</f>
        <v>0</v>
      </c>
      <c r="Q16" s="92">
        <f>+N16^2*O16</f>
        <v>0</v>
      </c>
      <c r="R16" s="92"/>
      <c r="S16" s="8"/>
      <c r="T16" s="8"/>
      <c r="U16" s="8"/>
      <c r="V16" s="9"/>
      <c r="X16" s="21"/>
      <c r="Y16" s="91" t="s">
        <v>236</v>
      </c>
      <c r="Z16" s="7" t="s">
        <v>0</v>
      </c>
      <c r="AA16" s="7" t="s">
        <v>1</v>
      </c>
      <c r="AB16" s="7" t="s">
        <v>2</v>
      </c>
      <c r="AC16" s="91" t="s">
        <v>229</v>
      </c>
      <c r="AD16" s="7"/>
      <c r="AE16" s="7"/>
      <c r="AF16" s="7"/>
      <c r="AG16" s="7"/>
      <c r="AH16" s="8"/>
      <c r="AI16" s="9"/>
      <c r="AK16" s="21"/>
      <c r="AL16" s="7"/>
      <c r="AM16" s="7"/>
      <c r="AN16" s="7"/>
      <c r="AO16" s="7"/>
      <c r="AP16" s="7"/>
      <c r="AQ16" s="8"/>
      <c r="AR16" s="8"/>
      <c r="AS16" s="8"/>
      <c r="AT16" s="8"/>
      <c r="AU16" s="9"/>
      <c r="AW16" s="21">
        <f t="shared" si="15"/>
        <v>12</v>
      </c>
      <c r="AX16" s="25">
        <v>4.4088577775764861</v>
      </c>
      <c r="AY16" s="25">
        <v>4.9269167599559296</v>
      </c>
      <c r="AZ16" s="8">
        <f t="shared" si="3"/>
        <v>24.274508759534633</v>
      </c>
      <c r="BA16" s="7"/>
      <c r="BB16" s="8"/>
      <c r="BC16" s="8"/>
      <c r="BD16" s="8"/>
      <c r="BE16" s="8"/>
      <c r="BF16" s="8"/>
      <c r="BG16" s="19" t="s">
        <v>253</v>
      </c>
      <c r="BH16" s="8" t="s">
        <v>254</v>
      </c>
      <c r="BI16" s="8"/>
      <c r="BJ16" s="9"/>
      <c r="BK16" s="8"/>
      <c r="BL16" s="21">
        <f t="shared" si="16"/>
        <v>12</v>
      </c>
      <c r="BM16" s="25">
        <v>4.4088577775764861</v>
      </c>
      <c r="BN16" s="25">
        <v>4.9269167599559296</v>
      </c>
      <c r="BO16" s="8">
        <f t="shared" si="4"/>
        <v>24.274508759534633</v>
      </c>
      <c r="BP16" s="7"/>
      <c r="BQ16" s="8"/>
      <c r="BR16" s="8"/>
      <c r="BS16" s="8"/>
      <c r="BT16" s="8"/>
      <c r="BU16" s="8"/>
      <c r="BV16" s="19" t="s">
        <v>253</v>
      </c>
      <c r="BW16" s="8" t="s">
        <v>254</v>
      </c>
      <c r="BX16" s="8"/>
      <c r="BY16" s="9"/>
      <c r="BZ16" s="8"/>
      <c r="CA16" s="52">
        <f t="shared" si="46"/>
        <v>11</v>
      </c>
      <c r="CB16" s="53">
        <v>3.7312631926906761</v>
      </c>
      <c r="CC16" s="53">
        <v>4.8252244520481327</v>
      </c>
      <c r="CD16" s="54">
        <f t="shared" si="17"/>
        <v>0.33333333333333331</v>
      </c>
      <c r="CE16" s="54">
        <f t="shared" si="18"/>
        <v>0.36666666666666664</v>
      </c>
      <c r="CF16" s="52">
        <f t="shared" si="7"/>
        <v>0.35629447714993334</v>
      </c>
      <c r="CG16" s="54">
        <f t="shared" si="19"/>
        <v>2.2961143816600027E-2</v>
      </c>
      <c r="CH16" s="54">
        <f t="shared" si="20"/>
        <v>1.0372189516733299E-2</v>
      </c>
      <c r="CI16" s="8"/>
      <c r="CJ16" s="8"/>
      <c r="CK16" s="8"/>
      <c r="CL16" s="8"/>
      <c r="CM16" s="9"/>
      <c r="CO16" s="45">
        <v>12.316049684133427</v>
      </c>
      <c r="CP16" s="33">
        <f t="shared" si="47"/>
        <v>11</v>
      </c>
      <c r="CQ16" s="45">
        <v>15.444196905423139</v>
      </c>
      <c r="CR16" s="33">
        <f t="shared" si="21"/>
        <v>0.5</v>
      </c>
      <c r="CS16" s="33">
        <f t="shared" si="22"/>
        <v>0.55000000000000004</v>
      </c>
      <c r="CT16" s="45">
        <f t="shared" si="23"/>
        <v>0.54441969054231387</v>
      </c>
      <c r="CU16" s="45">
        <f t="shared" si="24"/>
        <v>4.4419690542313872E-2</v>
      </c>
      <c r="CV16" s="45">
        <f t="shared" si="25"/>
        <v>5.5803094576861723E-3</v>
      </c>
      <c r="CW16" s="8"/>
      <c r="CX16" s="7" t="s">
        <v>10</v>
      </c>
      <c r="CY16" s="27">
        <f>+MAX(CU6:CV25)</f>
        <v>0.15768150883510823</v>
      </c>
      <c r="CZ16" s="7"/>
      <c r="DA16" s="8"/>
      <c r="DB16" s="9"/>
      <c r="DD16" s="45">
        <v>10.719881553668529</v>
      </c>
      <c r="DE16" s="33">
        <f t="shared" si="48"/>
        <v>11</v>
      </c>
      <c r="DF16" s="45">
        <v>14.680333075957606</v>
      </c>
      <c r="DG16" s="33">
        <f t="shared" si="26"/>
        <v>0.5</v>
      </c>
      <c r="DH16" s="33">
        <f t="shared" si="27"/>
        <v>0.55000000000000004</v>
      </c>
      <c r="DI16" s="45">
        <f t="shared" si="28"/>
        <v>0.46803330759576056</v>
      </c>
      <c r="DJ16" s="45">
        <f t="shared" si="29"/>
        <v>3.1966692404239438E-2</v>
      </c>
      <c r="DK16" s="45">
        <f t="shared" si="30"/>
        <v>8.1966692404239483E-2</v>
      </c>
      <c r="DL16" s="8"/>
      <c r="DM16" s="7" t="s">
        <v>10</v>
      </c>
      <c r="DN16" s="27">
        <f>+MAX(DJ6:DK25)</f>
        <v>0.3097768353647552</v>
      </c>
      <c r="DO16" s="7"/>
      <c r="DP16" s="8"/>
      <c r="DQ16" s="9"/>
      <c r="DS16" s="47">
        <v>2.0636005737479781</v>
      </c>
      <c r="DT16" s="33">
        <f t="shared" si="49"/>
        <v>11</v>
      </c>
      <c r="DU16" s="47">
        <v>5.5721304971465191</v>
      </c>
      <c r="DV16" s="47">
        <f t="shared" si="31"/>
        <v>0.83333333333333337</v>
      </c>
      <c r="DW16" s="47">
        <f t="shared" si="32"/>
        <v>0.91666666666666663</v>
      </c>
      <c r="DX16" s="47">
        <f t="shared" si="33"/>
        <v>0.89303262428662977</v>
      </c>
      <c r="DY16" s="47">
        <f t="shared" si="34"/>
        <v>5.9699290953296402E-2</v>
      </c>
      <c r="DZ16" s="47">
        <f t="shared" si="35"/>
        <v>2.3634042380036857E-2</v>
      </c>
      <c r="EA16" s="8"/>
      <c r="EB16" s="7" t="s">
        <v>10</v>
      </c>
      <c r="EC16" s="48">
        <f>+MAX(DY6:DZ17)</f>
        <v>0.34834081036815501</v>
      </c>
      <c r="ED16" s="7"/>
      <c r="EE16" s="8"/>
      <c r="EF16" s="9"/>
      <c r="EH16" s="52">
        <f t="shared" si="50"/>
        <v>11</v>
      </c>
      <c r="EI16" s="47">
        <v>5.7933374490676215</v>
      </c>
      <c r="EJ16" s="47">
        <v>4.2056086739466991</v>
      </c>
      <c r="EK16" s="47">
        <f t="shared" si="36"/>
        <v>0.2</v>
      </c>
      <c r="EL16" s="47">
        <f t="shared" si="37"/>
        <v>0.22</v>
      </c>
      <c r="EM16" s="45">
        <f t="shared" si="38"/>
        <v>0.25934271348476412</v>
      </c>
      <c r="EN16" s="45">
        <f t="shared" si="39"/>
        <v>5.9342713484764109E-2</v>
      </c>
      <c r="EO16" s="45">
        <f t="shared" si="40"/>
        <v>3.9342713484764119E-2</v>
      </c>
      <c r="EP16" s="8"/>
      <c r="EQ16" s="8"/>
      <c r="ER16" s="8"/>
      <c r="ES16" s="8"/>
      <c r="ET16" s="9"/>
      <c r="EV16" s="21">
        <f t="shared" si="41"/>
        <v>12</v>
      </c>
      <c r="EW16" s="25">
        <v>5.1024920948111685</v>
      </c>
      <c r="EX16" s="25">
        <v>4.2797791037446586</v>
      </c>
      <c r="EY16" s="8">
        <f t="shared" si="8"/>
        <v>18.316509176849433</v>
      </c>
      <c r="EZ16" s="7"/>
      <c r="FA16" s="8"/>
      <c r="FB16" s="8"/>
      <c r="FC16" s="8"/>
      <c r="FD16" s="8"/>
      <c r="FE16" s="8"/>
      <c r="FF16" s="19" t="s">
        <v>253</v>
      </c>
      <c r="FG16" s="8" t="s">
        <v>254</v>
      </c>
      <c r="FH16" s="8"/>
      <c r="FI16" s="9"/>
      <c r="FK16" s="66">
        <v>-1.2471355148591101</v>
      </c>
      <c r="FL16" s="8"/>
      <c r="FM16" s="8">
        <f t="shared" si="57"/>
        <v>10</v>
      </c>
      <c r="FN16" s="64">
        <v>1.5363411876023747</v>
      </c>
      <c r="FO16" s="8"/>
      <c r="FP16" s="8"/>
      <c r="FQ16" s="8"/>
      <c r="FR16" s="8"/>
      <c r="FS16" s="7" t="s">
        <v>232</v>
      </c>
      <c r="FT16" s="27">
        <f>+FT15</f>
        <v>0.84199999999999997</v>
      </c>
      <c r="FU16" s="13">
        <v>1</v>
      </c>
      <c r="FV16" s="9"/>
      <c r="FX16" s="66">
        <v>-1.2471355148591101</v>
      </c>
      <c r="FY16" s="8"/>
      <c r="FZ16" s="8">
        <f t="shared" si="58"/>
        <v>10</v>
      </c>
      <c r="GA16" s="64">
        <v>7</v>
      </c>
      <c r="GB16" s="8"/>
      <c r="GC16" s="8"/>
      <c r="GD16" s="8"/>
      <c r="GE16" s="8"/>
      <c r="GF16" s="7" t="s">
        <v>232</v>
      </c>
      <c r="GG16" s="27">
        <f>+GG15</f>
        <v>0.84199999999999997</v>
      </c>
      <c r="GH16" s="13">
        <v>1</v>
      </c>
      <c r="GI16" s="9"/>
      <c r="GK16" s="66">
        <v>18.170534910168499</v>
      </c>
      <c r="GL16" s="8"/>
      <c r="GM16" s="8">
        <f t="shared" si="51"/>
        <v>10</v>
      </c>
      <c r="GN16" s="63">
        <v>14.357260094257072</v>
      </c>
      <c r="GO16" s="8"/>
      <c r="GP16" s="8"/>
      <c r="GQ16" s="8"/>
      <c r="GR16" s="8"/>
      <c r="GS16" s="8"/>
      <c r="GT16" s="8"/>
      <c r="GU16" s="8"/>
      <c r="GV16" s="8"/>
      <c r="GW16" s="8"/>
      <c r="GX16" s="9"/>
      <c r="GZ16" s="21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9"/>
      <c r="HN16" s="21"/>
      <c r="HO16" s="31" t="s">
        <v>159</v>
      </c>
      <c r="HP16" s="8">
        <v>5</v>
      </c>
      <c r="HQ16" s="8"/>
      <c r="HR16" s="8"/>
      <c r="HS16" s="8"/>
      <c r="HT16" s="8"/>
      <c r="HU16" s="8"/>
      <c r="HV16" s="8"/>
      <c r="HW16" s="8"/>
      <c r="HX16" s="8"/>
      <c r="HY16" s="8"/>
      <c r="HZ16" s="9"/>
      <c r="IA16" s="8"/>
      <c r="IB16" s="21"/>
      <c r="IC16" s="8" t="s">
        <v>188</v>
      </c>
      <c r="ID16" s="8"/>
      <c r="IE16" s="8"/>
      <c r="IF16" s="8"/>
      <c r="IG16" s="8"/>
      <c r="IH16" s="8"/>
      <c r="II16" s="8"/>
      <c r="IJ16" s="9"/>
      <c r="IL16" s="21"/>
      <c r="IM16" s="8" t="s">
        <v>188</v>
      </c>
      <c r="IN16" s="8"/>
      <c r="IO16" s="8"/>
      <c r="IP16" s="8"/>
      <c r="IQ16" s="8"/>
      <c r="IR16" s="8"/>
      <c r="IS16" s="8"/>
      <c r="IT16" s="9"/>
      <c r="IV16" s="21"/>
      <c r="IW16" s="8"/>
      <c r="IX16" s="7">
        <v>5</v>
      </c>
      <c r="IY16" s="8"/>
      <c r="IZ16" s="7">
        <v>9</v>
      </c>
      <c r="JA16" s="7"/>
      <c r="JB16" s="7"/>
      <c r="JC16" s="7">
        <v>8</v>
      </c>
      <c r="JD16" s="10">
        <v>20</v>
      </c>
      <c r="JF16" s="21"/>
      <c r="JG16" s="7">
        <f t="shared" si="42"/>
        <v>12</v>
      </c>
      <c r="JH16" s="7">
        <v>6</v>
      </c>
      <c r="JI16" s="7">
        <v>9</v>
      </c>
      <c r="JJ16" s="7">
        <f t="shared" si="12"/>
        <v>-3</v>
      </c>
      <c r="JK16" s="7"/>
      <c r="JL16" s="7">
        <v>5</v>
      </c>
      <c r="JM16" s="10"/>
      <c r="JN16" s="7"/>
      <c r="JO16" s="6"/>
      <c r="JP16" s="7">
        <f t="shared" si="43"/>
        <v>12</v>
      </c>
      <c r="JQ16" s="7">
        <v>18</v>
      </c>
      <c r="JR16" s="7">
        <v>26</v>
      </c>
      <c r="JS16" s="7">
        <f t="shared" si="13"/>
        <v>-8</v>
      </c>
      <c r="JT16" s="7"/>
      <c r="JU16" s="8">
        <v>21.5</v>
      </c>
      <c r="JV16" s="9"/>
    </row>
    <row r="17" spans="2:282" x14ac:dyDescent="0.35">
      <c r="B17" s="6"/>
      <c r="C17" s="7">
        <v>1</v>
      </c>
      <c r="D17" s="7">
        <v>7</v>
      </c>
      <c r="E17" s="7">
        <f t="shared" si="65"/>
        <v>7</v>
      </c>
      <c r="F17" s="7">
        <f t="shared" ref="F17:F24" si="67">+C17^2*D17</f>
        <v>7</v>
      </c>
      <c r="G17" s="7"/>
      <c r="H17" s="8"/>
      <c r="I17" s="8"/>
      <c r="J17" s="8"/>
      <c r="K17" s="9"/>
      <c r="M17" s="6"/>
      <c r="N17" s="92">
        <v>1</v>
      </c>
      <c r="O17" s="92">
        <v>8</v>
      </c>
      <c r="P17" s="92">
        <f t="shared" si="66"/>
        <v>8</v>
      </c>
      <c r="Q17" s="92">
        <f t="shared" ref="Q17:Q24" si="68">+N17^2*O17</f>
        <v>8</v>
      </c>
      <c r="R17" s="92"/>
      <c r="S17" s="8"/>
      <c r="T17" s="8"/>
      <c r="U17" s="8"/>
      <c r="V17" s="9"/>
      <c r="X17" s="21"/>
      <c r="Y17" s="91" t="s">
        <v>237</v>
      </c>
      <c r="Z17" s="7">
        <v>28</v>
      </c>
      <c r="AA17" s="7">
        <f>1/5</f>
        <v>0.2</v>
      </c>
      <c r="AB17" s="7">
        <f>+AA17*$Z$22</f>
        <v>20</v>
      </c>
      <c r="AC17" s="7">
        <f>+(Z17-AB17)^2/AB17</f>
        <v>3.2</v>
      </c>
      <c r="AD17" s="7"/>
      <c r="AE17" s="7" t="s">
        <v>14</v>
      </c>
      <c r="AF17" s="14" t="s">
        <v>244</v>
      </c>
      <c r="AG17" s="7"/>
      <c r="AH17" s="8"/>
      <c r="AI17" s="9"/>
      <c r="AK17" s="21"/>
      <c r="AL17" s="14" t="s">
        <v>235</v>
      </c>
      <c r="AM17" s="7"/>
      <c r="AN17" s="7"/>
      <c r="AO17" s="7"/>
      <c r="AP17" s="7"/>
      <c r="AQ17" s="8"/>
      <c r="AR17" s="8"/>
      <c r="AS17" s="8"/>
      <c r="AT17" s="8"/>
      <c r="AU17" s="9"/>
      <c r="AW17" s="21">
        <f t="shared" si="15"/>
        <v>13</v>
      </c>
      <c r="AX17" s="25">
        <v>6.8446167498732393</v>
      </c>
      <c r="AY17" s="25">
        <v>4.9547322343241831</v>
      </c>
      <c r="AZ17" s="8">
        <f t="shared" si="3"/>
        <v>24.54937151385111</v>
      </c>
      <c r="BA17" s="7"/>
      <c r="BB17" s="8"/>
      <c r="BC17" s="8"/>
      <c r="BD17" s="8"/>
      <c r="BE17" s="8"/>
      <c r="BF17" s="8"/>
      <c r="BG17" s="8"/>
      <c r="BH17" s="8"/>
      <c r="BI17" s="8"/>
      <c r="BJ17" s="9"/>
      <c r="BK17" s="8"/>
      <c r="BL17" s="21">
        <f t="shared" si="16"/>
        <v>13</v>
      </c>
      <c r="BM17" s="25">
        <v>6.8446167498732393</v>
      </c>
      <c r="BN17" s="25">
        <v>4.9547322343241831</v>
      </c>
      <c r="BO17" s="8">
        <f t="shared" si="4"/>
        <v>24.54937151385111</v>
      </c>
      <c r="BP17" s="7"/>
      <c r="BQ17" s="8"/>
      <c r="BR17" s="8"/>
      <c r="BS17" s="8"/>
      <c r="BT17" s="8"/>
      <c r="BU17" s="8"/>
      <c r="BV17" s="8"/>
      <c r="BW17" s="8"/>
      <c r="BX17" s="8"/>
      <c r="BY17" s="9"/>
      <c r="BZ17" s="8"/>
      <c r="CA17" s="52">
        <f t="shared" si="46"/>
        <v>12</v>
      </c>
      <c r="CB17" s="53">
        <v>4.4088577775764861</v>
      </c>
      <c r="CC17" s="53">
        <v>4.9269167599559296</v>
      </c>
      <c r="CD17" s="54">
        <f t="shared" si="17"/>
        <v>0.36666666666666664</v>
      </c>
      <c r="CE17" s="54">
        <f t="shared" si="18"/>
        <v>0.4</v>
      </c>
      <c r="CF17" s="52">
        <f t="shared" si="7"/>
        <v>0.38037565541566176</v>
      </c>
      <c r="CG17" s="54">
        <f t="shared" si="19"/>
        <v>1.3708988748995121E-2</v>
      </c>
      <c r="CH17" s="54">
        <f t="shared" si="20"/>
        <v>1.962434458433826E-2</v>
      </c>
      <c r="CI17" s="8"/>
      <c r="CJ17" s="19"/>
      <c r="CK17" s="8"/>
      <c r="CL17" s="8"/>
      <c r="CM17" s="9"/>
      <c r="CO17" s="45">
        <v>13.122959074678793</v>
      </c>
      <c r="CP17" s="33">
        <f t="shared" si="47"/>
        <v>12</v>
      </c>
      <c r="CQ17" s="45">
        <v>16.555070650349435</v>
      </c>
      <c r="CR17" s="33">
        <f t="shared" si="21"/>
        <v>0.55000000000000004</v>
      </c>
      <c r="CS17" s="33">
        <f t="shared" si="22"/>
        <v>0.6</v>
      </c>
      <c r="CT17" s="45">
        <f t="shared" si="23"/>
        <v>0.65550706503494349</v>
      </c>
      <c r="CU17" s="45">
        <f t="shared" si="24"/>
        <v>0.10550706503494345</v>
      </c>
      <c r="CV17" s="45">
        <f t="shared" si="25"/>
        <v>5.5507065034943515E-2</v>
      </c>
      <c r="CW17" s="8"/>
      <c r="CX17" s="7"/>
      <c r="CY17" s="7"/>
      <c r="CZ17" s="7"/>
      <c r="DA17" s="8"/>
      <c r="DB17" s="9"/>
      <c r="DD17" s="45">
        <v>15.028380782168824</v>
      </c>
      <c r="DE17" s="33">
        <f t="shared" si="48"/>
        <v>12</v>
      </c>
      <c r="DF17" s="45">
        <v>15.028380782168824</v>
      </c>
      <c r="DG17" s="33">
        <f t="shared" si="26"/>
        <v>0.55000000000000004</v>
      </c>
      <c r="DH17" s="33">
        <f t="shared" si="27"/>
        <v>0.6</v>
      </c>
      <c r="DI17" s="45">
        <f t="shared" si="28"/>
        <v>0.50283807821688242</v>
      </c>
      <c r="DJ17" s="45">
        <f t="shared" si="29"/>
        <v>4.7161921783117622E-2</v>
      </c>
      <c r="DK17" s="45">
        <f t="shared" si="30"/>
        <v>9.7161921783117555E-2</v>
      </c>
      <c r="DL17" s="8"/>
      <c r="DM17" s="7"/>
      <c r="DN17" s="7"/>
      <c r="DO17" s="7"/>
      <c r="DP17" s="8"/>
      <c r="DQ17" s="9"/>
      <c r="DS17" s="47">
        <v>2.6187932981353192</v>
      </c>
      <c r="DT17" s="33">
        <f t="shared" si="49"/>
        <v>12</v>
      </c>
      <c r="DU17" s="47">
        <v>5.8536332285531181</v>
      </c>
      <c r="DV17" s="47">
        <f t="shared" si="31"/>
        <v>0.91666666666666663</v>
      </c>
      <c r="DW17" s="47">
        <f t="shared" si="32"/>
        <v>1</v>
      </c>
      <c r="DX17" s="47">
        <f t="shared" si="33"/>
        <v>0.96340830713827952</v>
      </c>
      <c r="DY17" s="47">
        <f t="shared" si="34"/>
        <v>4.6741640471612889E-2</v>
      </c>
      <c r="DZ17" s="47">
        <f t="shared" si="35"/>
        <v>3.6591692861720482E-2</v>
      </c>
      <c r="EA17" s="8"/>
      <c r="EB17" s="7"/>
      <c r="EC17" s="7"/>
      <c r="ED17" s="7"/>
      <c r="EE17" s="8"/>
      <c r="EF17" s="9"/>
      <c r="EH17" s="52">
        <f t="shared" si="50"/>
        <v>12</v>
      </c>
      <c r="EI17" s="47">
        <v>5.1024920948111685</v>
      </c>
      <c r="EJ17" s="47">
        <v>4.2797791037446586</v>
      </c>
      <c r="EK17" s="47">
        <f t="shared" si="36"/>
        <v>0.22</v>
      </c>
      <c r="EL17" s="47">
        <f t="shared" si="37"/>
        <v>0.24</v>
      </c>
      <c r="EM17" s="45">
        <f t="shared" si="38"/>
        <v>0.27559877256786514</v>
      </c>
      <c r="EN17" s="45">
        <f t="shared" si="39"/>
        <v>5.5598772567865135E-2</v>
      </c>
      <c r="EO17" s="45">
        <f t="shared" si="40"/>
        <v>3.5598772567865145E-2</v>
      </c>
      <c r="EP17" s="8"/>
      <c r="EQ17" s="19"/>
      <c r="ER17" s="8"/>
      <c r="ES17" s="8"/>
      <c r="ET17" s="9"/>
      <c r="EV17" s="21">
        <f t="shared" si="41"/>
        <v>13</v>
      </c>
      <c r="EW17" s="25">
        <v>4.1813422184350202</v>
      </c>
      <c r="EX17" s="25">
        <v>4.2831249073788058</v>
      </c>
      <c r="EY17" s="8">
        <f t="shared" si="8"/>
        <v>18.345158972208704</v>
      </c>
      <c r="EZ17" s="7"/>
      <c r="FA17" s="8"/>
      <c r="FB17" s="8"/>
      <c r="FC17" s="8"/>
      <c r="FD17" s="8"/>
      <c r="FE17" s="8"/>
      <c r="FF17" s="8"/>
      <c r="FG17" s="8"/>
      <c r="FH17" s="8"/>
      <c r="FI17" s="9"/>
      <c r="FK17" s="66"/>
      <c r="FL17" s="8"/>
      <c r="FM17" s="8"/>
      <c r="FN17" s="8"/>
      <c r="FO17" s="8"/>
      <c r="FP17" s="8"/>
      <c r="FQ17" s="8"/>
      <c r="FR17" s="8"/>
      <c r="FS17" s="7" t="s">
        <v>231</v>
      </c>
      <c r="FT17" s="13">
        <v>0</v>
      </c>
      <c r="FU17" s="27">
        <f>+FT16</f>
        <v>0.84199999999999997</v>
      </c>
      <c r="FV17" s="9"/>
      <c r="FX17" s="66"/>
      <c r="FY17" s="8"/>
      <c r="FZ17" s="8"/>
      <c r="GA17" s="8"/>
      <c r="GB17" s="8"/>
      <c r="GC17" s="8"/>
      <c r="GD17" s="8"/>
      <c r="GE17" s="8"/>
      <c r="GF17" s="7" t="s">
        <v>231</v>
      </c>
      <c r="GG17" s="13">
        <v>0</v>
      </c>
      <c r="GH17" s="27">
        <f>+GG16</f>
        <v>0.84199999999999997</v>
      </c>
      <c r="GI17" s="9"/>
      <c r="GK17" s="66">
        <v>11.055785231874324</v>
      </c>
      <c r="GL17" s="8"/>
      <c r="GM17" s="8">
        <f t="shared" si="51"/>
        <v>11</v>
      </c>
      <c r="GN17" s="63">
        <v>14.482502062164713</v>
      </c>
      <c r="GO17" s="8"/>
      <c r="GP17" s="8"/>
      <c r="GQ17" s="8"/>
      <c r="GR17" s="8"/>
      <c r="GS17" s="8"/>
      <c r="GT17" s="8"/>
      <c r="GU17" s="8"/>
      <c r="GV17" s="8"/>
      <c r="GW17" s="8"/>
      <c r="GX17" s="9"/>
      <c r="GZ17" s="21"/>
      <c r="HA17" s="8" t="s">
        <v>231</v>
      </c>
      <c r="HB17" s="93" t="s">
        <v>359</v>
      </c>
      <c r="HC17" s="93" t="s">
        <v>163</v>
      </c>
      <c r="HD17" s="93" t="s">
        <v>360</v>
      </c>
      <c r="HE17" s="93"/>
      <c r="HF17" s="93"/>
      <c r="HG17" s="8"/>
      <c r="HH17" s="8"/>
      <c r="HI17" s="8"/>
      <c r="HJ17" s="8"/>
      <c r="HK17" s="8"/>
      <c r="HL17" s="9"/>
      <c r="HN17" s="21"/>
      <c r="HO17" s="31" t="s">
        <v>160</v>
      </c>
      <c r="HP17" s="8">
        <v>5</v>
      </c>
      <c r="HQ17" s="8"/>
      <c r="HR17" s="8"/>
      <c r="HS17" s="8"/>
      <c r="HT17" s="8"/>
      <c r="HU17" s="8"/>
      <c r="HV17" s="8"/>
      <c r="HW17" s="8"/>
      <c r="HX17" s="8"/>
      <c r="HY17" s="8"/>
      <c r="HZ17" s="9"/>
      <c r="IA17" s="8"/>
      <c r="IB17" s="21"/>
      <c r="IC17" s="8"/>
      <c r="ID17" s="7" t="s">
        <v>180</v>
      </c>
      <c r="IE17" s="7" t="s">
        <v>181</v>
      </c>
      <c r="IF17" s="7" t="s">
        <v>182</v>
      </c>
      <c r="IG17" s="7" t="s">
        <v>183</v>
      </c>
      <c r="IH17" s="7" t="s">
        <v>184</v>
      </c>
      <c r="II17" s="7" t="s">
        <v>317</v>
      </c>
      <c r="IJ17" s="9"/>
      <c r="IL17" s="21"/>
      <c r="IM17" s="8"/>
      <c r="IN17" s="7" t="s">
        <v>180</v>
      </c>
      <c r="IO17" s="7" t="s">
        <v>181</v>
      </c>
      <c r="IP17" s="7" t="s">
        <v>182</v>
      </c>
      <c r="IQ17" s="7" t="s">
        <v>183</v>
      </c>
      <c r="IR17" s="7" t="s">
        <v>184</v>
      </c>
      <c r="IS17" s="7" t="s">
        <v>317</v>
      </c>
      <c r="IT17" s="9"/>
      <c r="IV17" s="21"/>
      <c r="IW17" s="8"/>
      <c r="IX17" s="8"/>
      <c r="IY17" s="8"/>
      <c r="IZ17" s="8"/>
      <c r="JA17" s="7">
        <v>8.5</v>
      </c>
      <c r="JB17" s="7">
        <v>21</v>
      </c>
      <c r="JC17" s="7"/>
      <c r="JD17" s="10"/>
      <c r="JF17" s="21"/>
      <c r="JG17" s="7" t="s">
        <v>275</v>
      </c>
      <c r="JH17" s="7"/>
      <c r="JI17" s="7"/>
      <c r="JJ17" s="7"/>
      <c r="JK17" s="7">
        <f>+SUM(JK5:JK16)</f>
        <v>3.5</v>
      </c>
      <c r="JL17" s="7">
        <f>+SUM(JL5:JL16)</f>
        <v>51.5</v>
      </c>
      <c r="JM17" s="10"/>
      <c r="JN17" s="7"/>
      <c r="JO17" s="6"/>
      <c r="JP17" s="7">
        <f t="shared" si="43"/>
        <v>13</v>
      </c>
      <c r="JQ17" s="7">
        <v>26</v>
      </c>
      <c r="JR17" s="7">
        <v>20</v>
      </c>
      <c r="JS17" s="7">
        <f t="shared" si="13"/>
        <v>6</v>
      </c>
      <c r="JT17" s="7">
        <v>18</v>
      </c>
      <c r="JU17" s="8"/>
      <c r="JV17" s="9"/>
    </row>
    <row r="18" spans="2:282" ht="16.5" x14ac:dyDescent="0.45">
      <c r="B18" s="6"/>
      <c r="C18" s="7">
        <v>2</v>
      </c>
      <c r="D18" s="7">
        <v>10</v>
      </c>
      <c r="E18" s="7">
        <f t="shared" si="65"/>
        <v>20</v>
      </c>
      <c r="F18" s="7">
        <f t="shared" si="67"/>
        <v>40</v>
      </c>
      <c r="G18" s="7"/>
      <c r="H18" s="8"/>
      <c r="I18" s="8"/>
      <c r="J18" s="8"/>
      <c r="K18" s="9"/>
      <c r="M18" s="6"/>
      <c r="N18" s="92">
        <v>2</v>
      </c>
      <c r="O18" s="92">
        <v>5</v>
      </c>
      <c r="P18" s="92">
        <f t="shared" si="66"/>
        <v>10</v>
      </c>
      <c r="Q18" s="92">
        <f t="shared" si="68"/>
        <v>20</v>
      </c>
      <c r="R18" s="92"/>
      <c r="S18" s="8"/>
      <c r="T18" s="8"/>
      <c r="U18" s="8"/>
      <c r="V18" s="9"/>
      <c r="X18" s="21"/>
      <c r="Y18" s="91" t="s">
        <v>238</v>
      </c>
      <c r="Z18" s="7">
        <v>26</v>
      </c>
      <c r="AA18" s="7">
        <f>1/5</f>
        <v>0.2</v>
      </c>
      <c r="AB18" s="7">
        <f>+AA18*$Z$9</f>
        <v>20</v>
      </c>
      <c r="AC18" s="7">
        <f>+(Z18-AB18)^2/AB18</f>
        <v>1.8</v>
      </c>
      <c r="AD18" s="7"/>
      <c r="AE18" s="7" t="s">
        <v>15</v>
      </c>
      <c r="AF18" s="14" t="s">
        <v>248</v>
      </c>
      <c r="AG18" s="7"/>
      <c r="AH18" s="8"/>
      <c r="AI18" s="9"/>
      <c r="AK18" s="21"/>
      <c r="AL18" s="7" t="s">
        <v>3</v>
      </c>
      <c r="AM18" s="7" t="s">
        <v>4</v>
      </c>
      <c r="AN18" s="7" t="s">
        <v>5</v>
      </c>
      <c r="AO18" s="7"/>
      <c r="AP18" s="7"/>
      <c r="AQ18" s="8"/>
      <c r="AR18" s="8"/>
      <c r="AS18" s="8"/>
      <c r="AT18" s="8"/>
      <c r="AU18" s="9"/>
      <c r="AW18" s="21">
        <f t="shared" si="15"/>
        <v>14</v>
      </c>
      <c r="AX18" s="25">
        <v>3.7393008521175943</v>
      </c>
      <c r="AY18" s="25">
        <v>5.2248234548242181</v>
      </c>
      <c r="AZ18" s="8">
        <f t="shared" si="3"/>
        <v>27.298780134081277</v>
      </c>
      <c r="BA18" s="7"/>
      <c r="BB18" s="8"/>
      <c r="BC18" s="8"/>
      <c r="BD18" s="8"/>
      <c r="BE18" s="8"/>
      <c r="BF18" s="8"/>
      <c r="BG18" s="8"/>
      <c r="BH18" s="8"/>
      <c r="BI18" s="8"/>
      <c r="BJ18" s="9"/>
      <c r="BK18" s="8"/>
      <c r="BL18" s="21">
        <f t="shared" si="16"/>
        <v>14</v>
      </c>
      <c r="BM18" s="25">
        <v>3.7393008521175943</v>
      </c>
      <c r="BN18" s="25">
        <v>5.2248234548242181</v>
      </c>
      <c r="BO18" s="8">
        <f t="shared" si="4"/>
        <v>27.298780134081277</v>
      </c>
      <c r="BP18" s="7"/>
      <c r="BQ18" s="8"/>
      <c r="BR18" s="8"/>
      <c r="BS18" s="8"/>
      <c r="BT18" s="8"/>
      <c r="BU18" s="8"/>
      <c r="BV18" s="8"/>
      <c r="BW18" s="8"/>
      <c r="BX18" s="8"/>
      <c r="BY18" s="9"/>
      <c r="BZ18" s="8"/>
      <c r="CA18" s="52">
        <f t="shared" si="46"/>
        <v>13</v>
      </c>
      <c r="CB18" s="53">
        <v>6.8446167498732393</v>
      </c>
      <c r="CC18" s="53">
        <v>4.9547322343241831</v>
      </c>
      <c r="CD18" s="54">
        <f t="shared" si="17"/>
        <v>0.4</v>
      </c>
      <c r="CE18" s="54">
        <f t="shared" si="18"/>
        <v>0.43333333333333335</v>
      </c>
      <c r="CF18" s="52">
        <f t="shared" si="7"/>
        <v>0.38704865642741632</v>
      </c>
      <c r="CG18" s="54">
        <f t="shared" si="19"/>
        <v>1.2951343572583707E-2</v>
      </c>
      <c r="CH18" s="54">
        <f t="shared" si="20"/>
        <v>4.6284676905917033E-2</v>
      </c>
      <c r="CI18" s="8"/>
      <c r="CJ18" s="19"/>
      <c r="CK18" s="8"/>
      <c r="CL18" s="8"/>
      <c r="CM18" s="9"/>
      <c r="CO18" s="45">
        <v>16.941129795220803</v>
      </c>
      <c r="CP18" s="33">
        <f t="shared" si="47"/>
        <v>13</v>
      </c>
      <c r="CQ18" s="45">
        <v>16.941129795220803</v>
      </c>
      <c r="CR18" s="33">
        <f t="shared" si="21"/>
        <v>0.6</v>
      </c>
      <c r="CS18" s="33">
        <f t="shared" si="22"/>
        <v>0.65</v>
      </c>
      <c r="CT18" s="45">
        <f t="shared" si="23"/>
        <v>0.69411297952208029</v>
      </c>
      <c r="CU18" s="45">
        <f t="shared" si="24"/>
        <v>9.4112979522080309E-2</v>
      </c>
      <c r="CV18" s="45">
        <f t="shared" si="25"/>
        <v>4.4112979522080265E-2</v>
      </c>
      <c r="CW18" s="8"/>
      <c r="CX18" s="8" t="s">
        <v>269</v>
      </c>
      <c r="CY18" s="8"/>
      <c r="CZ18" s="8"/>
      <c r="DA18" s="8"/>
      <c r="DB18" s="9"/>
      <c r="DD18" s="45">
        <v>14.151732481550425</v>
      </c>
      <c r="DE18" s="33">
        <f t="shared" si="48"/>
        <v>13</v>
      </c>
      <c r="DF18" s="45">
        <v>15.246873241849244</v>
      </c>
      <c r="DG18" s="33">
        <f t="shared" si="26"/>
        <v>0.6</v>
      </c>
      <c r="DH18" s="33">
        <f t="shared" si="27"/>
        <v>0.65</v>
      </c>
      <c r="DI18" s="45">
        <f t="shared" si="28"/>
        <v>0.52468732418492436</v>
      </c>
      <c r="DJ18" s="45">
        <f t="shared" si="29"/>
        <v>7.5312675815075614E-2</v>
      </c>
      <c r="DK18" s="45">
        <f t="shared" si="30"/>
        <v>0.12531267581507566</v>
      </c>
      <c r="DL18" s="8"/>
      <c r="DM18" s="8" t="s">
        <v>284</v>
      </c>
      <c r="DN18" s="8"/>
      <c r="DO18" s="8"/>
      <c r="DP18" s="8"/>
      <c r="DQ18" s="9"/>
      <c r="DS18" s="49"/>
      <c r="DT18" s="8"/>
      <c r="DU18" s="8"/>
      <c r="DV18" s="8"/>
      <c r="DW18" s="8"/>
      <c r="DX18" s="8"/>
      <c r="DY18" s="8"/>
      <c r="DZ18" s="8"/>
      <c r="EA18" s="8"/>
      <c r="EB18" s="8" t="s">
        <v>249</v>
      </c>
      <c r="EC18" s="8"/>
      <c r="ED18" s="8"/>
      <c r="EE18" s="8"/>
      <c r="EF18" s="9"/>
      <c r="EH18" s="52">
        <f t="shared" si="50"/>
        <v>13</v>
      </c>
      <c r="EI18" s="47">
        <v>4.1813422184350202</v>
      </c>
      <c r="EJ18" s="47">
        <v>4.2831249073788058</v>
      </c>
      <c r="EK18" s="47">
        <f t="shared" si="36"/>
        <v>0.24</v>
      </c>
      <c r="EL18" s="47">
        <f t="shared" si="37"/>
        <v>0.26</v>
      </c>
      <c r="EM18" s="45">
        <f t="shared" si="38"/>
        <v>0.27634372150919984</v>
      </c>
      <c r="EN18" s="45">
        <f t="shared" si="39"/>
        <v>3.6343721509199844E-2</v>
      </c>
      <c r="EO18" s="45">
        <f t="shared" si="40"/>
        <v>1.6343721509199827E-2</v>
      </c>
      <c r="EP18" s="8"/>
      <c r="EQ18" s="19"/>
      <c r="ER18" s="8"/>
      <c r="ES18" s="8"/>
      <c r="ET18" s="9"/>
      <c r="EV18" s="21">
        <f t="shared" si="41"/>
        <v>14</v>
      </c>
      <c r="EW18" s="25">
        <v>8.4538788895588368</v>
      </c>
      <c r="EX18" s="25">
        <v>4.36392555355269</v>
      </c>
      <c r="EY18" s="8">
        <f t="shared" si="8"/>
        <v>19.043846236950152</v>
      </c>
      <c r="EZ18" s="7"/>
      <c r="FA18" s="8"/>
      <c r="FB18" s="8"/>
      <c r="FC18" s="8"/>
      <c r="FD18" s="8"/>
      <c r="FE18" s="8"/>
      <c r="FF18" s="8"/>
      <c r="FG18" s="8"/>
      <c r="FH18" s="8"/>
      <c r="FI18" s="9"/>
      <c r="FK18" s="66"/>
      <c r="FL18" s="8"/>
      <c r="FM18" s="8"/>
      <c r="FN18" s="8"/>
      <c r="FO18" s="8"/>
      <c r="FP18" s="8"/>
      <c r="FQ18" s="8"/>
      <c r="FR18" s="8"/>
      <c r="FS18" s="7"/>
      <c r="FT18" s="7"/>
      <c r="FU18" s="7"/>
      <c r="FV18" s="9"/>
      <c r="FX18" s="66"/>
      <c r="FY18" s="8"/>
      <c r="FZ18" s="8"/>
      <c r="GA18" s="8"/>
      <c r="GB18" s="8"/>
      <c r="GC18" s="8"/>
      <c r="GD18" s="8"/>
      <c r="GE18" s="8"/>
      <c r="GF18" s="7"/>
      <c r="GG18" s="7"/>
      <c r="GH18" s="7"/>
      <c r="GI18" s="9"/>
      <c r="GK18" s="66">
        <v>19.614994395524263</v>
      </c>
      <c r="GL18" s="8"/>
      <c r="GM18" s="8">
        <f t="shared" si="51"/>
        <v>12</v>
      </c>
      <c r="GN18" s="63">
        <v>15.118898242362775</v>
      </c>
      <c r="GO18" s="8"/>
      <c r="GP18" s="8"/>
      <c r="GQ18" s="8"/>
      <c r="GR18" s="8"/>
      <c r="GS18" s="8"/>
      <c r="GT18" s="8"/>
      <c r="GU18" s="8"/>
      <c r="GV18" s="8"/>
      <c r="GW18" s="8"/>
      <c r="GX18" s="9"/>
      <c r="GZ18" s="21"/>
      <c r="HA18" s="8" t="s">
        <v>232</v>
      </c>
      <c r="HB18" s="80" t="s">
        <v>164</v>
      </c>
      <c r="HC18" s="80" t="s">
        <v>165</v>
      </c>
      <c r="HD18" s="8"/>
      <c r="HE18" s="8"/>
      <c r="HF18" s="8"/>
      <c r="HG18" s="8"/>
      <c r="HH18" s="8"/>
      <c r="HI18" s="8"/>
      <c r="HJ18" s="8"/>
      <c r="HK18" s="8"/>
      <c r="HL18" s="9"/>
      <c r="HN18" s="21"/>
      <c r="HO18" s="31" t="s">
        <v>161</v>
      </c>
      <c r="HP18" s="8">
        <v>2</v>
      </c>
      <c r="HQ18" s="8"/>
      <c r="HR18" s="8"/>
      <c r="HS18" s="8"/>
      <c r="HT18" s="8"/>
      <c r="HU18" s="8"/>
      <c r="HV18" s="8"/>
      <c r="HW18" s="8"/>
      <c r="HX18" s="8"/>
      <c r="HY18" s="8"/>
      <c r="HZ18" s="9"/>
      <c r="IA18" s="8"/>
      <c r="IB18" s="21"/>
      <c r="IC18" s="8" t="s">
        <v>315</v>
      </c>
      <c r="ID18" s="28">
        <f t="shared" ref="ID18:IH19" si="69">+(ID6-ID12)^2/ID12</f>
        <v>5.1529790660225498E-2</v>
      </c>
      <c r="IE18" s="28">
        <f t="shared" si="69"/>
        <v>2.1342995169082131</v>
      </c>
      <c r="IF18" s="28">
        <f t="shared" si="69"/>
        <v>0.46763285024154594</v>
      </c>
      <c r="IG18" s="28">
        <f t="shared" si="69"/>
        <v>0.12077294685990334</v>
      </c>
      <c r="IH18" s="28">
        <f t="shared" si="69"/>
        <v>1.173913043478261</v>
      </c>
      <c r="II18" s="28">
        <f>SUM(ID18:IH18)</f>
        <v>3.9481481481481495</v>
      </c>
      <c r="IJ18" s="9"/>
      <c r="IL18" s="21"/>
      <c r="IM18" s="8" t="s">
        <v>327</v>
      </c>
      <c r="IN18" s="28">
        <f t="shared" ref="IN18:IR19" si="70">+(IN6-IN12)^2/IN12</f>
        <v>26.157011774683934</v>
      </c>
      <c r="IO18" s="28">
        <f t="shared" si="70"/>
        <v>2.2043699655622371</v>
      </c>
      <c r="IP18" s="28">
        <f t="shared" si="70"/>
        <v>9.6961435442592769</v>
      </c>
      <c r="IQ18" s="28">
        <f t="shared" si="70"/>
        <v>4.8890189482341517</v>
      </c>
      <c r="IR18" s="28">
        <f t="shared" si="70"/>
        <v>16.420514506048683</v>
      </c>
      <c r="IS18" s="28">
        <f>SUM(IN18:IR18)</f>
        <v>59.36705873878828</v>
      </c>
      <c r="IT18" s="9"/>
      <c r="IV18" s="21"/>
      <c r="IW18" s="8"/>
      <c r="IX18" s="8"/>
      <c r="IY18" s="8"/>
      <c r="IZ18" s="8"/>
      <c r="JA18" s="7"/>
      <c r="JB18" s="7"/>
      <c r="JC18" s="7">
        <v>9</v>
      </c>
      <c r="JD18" s="10">
        <v>22</v>
      </c>
      <c r="JF18" s="21"/>
      <c r="JG18" s="7"/>
      <c r="JH18" s="7"/>
      <c r="JI18" s="7"/>
      <c r="JJ18" s="7"/>
      <c r="JK18" s="7"/>
      <c r="JL18" s="7"/>
      <c r="JM18" s="10"/>
      <c r="JN18" s="7"/>
      <c r="JO18" s="6"/>
      <c r="JP18" s="7">
        <f t="shared" si="43"/>
        <v>14</v>
      </c>
      <c r="JQ18" s="7">
        <v>37</v>
      </c>
      <c r="JR18" s="7">
        <v>39</v>
      </c>
      <c r="JS18" s="7">
        <f t="shared" si="13"/>
        <v>-2</v>
      </c>
      <c r="JT18" s="87"/>
      <c r="JU18" s="8">
        <v>6</v>
      </c>
      <c r="JV18" s="9"/>
    </row>
    <row r="19" spans="2:282" ht="16.5" x14ac:dyDescent="0.45">
      <c r="B19" s="6"/>
      <c r="C19" s="7">
        <v>3</v>
      </c>
      <c r="D19" s="7">
        <v>9</v>
      </c>
      <c r="E19" s="7">
        <f t="shared" si="65"/>
        <v>27</v>
      </c>
      <c r="F19" s="7">
        <f t="shared" si="67"/>
        <v>81</v>
      </c>
      <c r="G19" s="7"/>
      <c r="H19" s="8"/>
      <c r="I19" s="8"/>
      <c r="J19" s="8"/>
      <c r="K19" s="9"/>
      <c r="M19" s="6"/>
      <c r="N19" s="92">
        <v>3</v>
      </c>
      <c r="O19" s="92">
        <v>9</v>
      </c>
      <c r="P19" s="92">
        <f t="shared" si="66"/>
        <v>27</v>
      </c>
      <c r="Q19" s="92">
        <f t="shared" si="68"/>
        <v>81</v>
      </c>
      <c r="R19" s="92"/>
      <c r="S19" s="8"/>
      <c r="T19" s="8"/>
      <c r="U19" s="8"/>
      <c r="V19" s="9"/>
      <c r="X19" s="21"/>
      <c r="Y19" s="91" t="s">
        <v>239</v>
      </c>
      <c r="Z19" s="7">
        <v>16</v>
      </c>
      <c r="AA19" s="7">
        <f>1/5</f>
        <v>0.2</v>
      </c>
      <c r="AB19" s="7">
        <f>+AA19*$Z$9</f>
        <v>20</v>
      </c>
      <c r="AC19" s="7">
        <f>+(Z19-AB19)^2/AB19</f>
        <v>0.8</v>
      </c>
      <c r="AD19" s="7"/>
      <c r="AE19" s="11" t="s">
        <v>9</v>
      </c>
      <c r="AF19" s="7">
        <v>0.05</v>
      </c>
      <c r="AG19" s="7"/>
      <c r="AH19" s="8"/>
      <c r="AI19" s="9"/>
      <c r="AK19" s="21"/>
      <c r="AL19" s="7">
        <v>0</v>
      </c>
      <c r="AM19" s="7">
        <v>2</v>
      </c>
      <c r="AN19" s="7">
        <f>+AL19*AM19</f>
        <v>0</v>
      </c>
      <c r="AO19" s="7"/>
      <c r="AP19" s="7"/>
      <c r="AQ19" s="8"/>
      <c r="AR19" s="8"/>
      <c r="AS19" s="8"/>
      <c r="AT19" s="8"/>
      <c r="AU19" s="9"/>
      <c r="AW19" s="21">
        <f t="shared" si="15"/>
        <v>15</v>
      </c>
      <c r="AX19" s="25">
        <v>1.8581702230731025</v>
      </c>
      <c r="AY19" s="25">
        <v>5.2394145920115989</v>
      </c>
      <c r="AZ19" s="8">
        <f t="shared" si="3"/>
        <v>27.451465266984069</v>
      </c>
      <c r="BA19" s="7"/>
      <c r="BB19" s="8"/>
      <c r="BC19" s="8"/>
      <c r="BD19" s="8"/>
      <c r="BE19" s="8"/>
      <c r="BF19" s="8"/>
      <c r="BG19" s="8"/>
      <c r="BH19" s="8"/>
      <c r="BI19" s="8"/>
      <c r="BJ19" s="9"/>
      <c r="BK19" s="8"/>
      <c r="BL19" s="21">
        <f t="shared" si="16"/>
        <v>15</v>
      </c>
      <c r="BM19" s="25">
        <v>1.8581702230731025</v>
      </c>
      <c r="BN19" s="25">
        <v>5.2394145920115989</v>
      </c>
      <c r="BO19" s="8">
        <f t="shared" si="4"/>
        <v>27.451465266984069</v>
      </c>
      <c r="BP19" s="7"/>
      <c r="BQ19" s="8"/>
      <c r="BR19" s="8"/>
      <c r="BS19" s="8"/>
      <c r="BT19" s="8"/>
      <c r="BU19" s="8"/>
      <c r="BV19" s="8"/>
      <c r="BW19" s="8"/>
      <c r="BX19" s="8"/>
      <c r="BY19" s="9"/>
      <c r="BZ19" s="8"/>
      <c r="CA19" s="52">
        <f t="shared" si="46"/>
        <v>14</v>
      </c>
      <c r="CB19" s="53">
        <v>3.7393008521175943</v>
      </c>
      <c r="CC19" s="53">
        <v>5.2248234548242181</v>
      </c>
      <c r="CD19" s="54">
        <f t="shared" si="17"/>
        <v>0.43333333333333335</v>
      </c>
      <c r="CE19" s="54">
        <f t="shared" si="18"/>
        <v>0.46666666666666667</v>
      </c>
      <c r="CF19" s="52">
        <f t="shared" si="7"/>
        <v>0.45329606901848907</v>
      </c>
      <c r="CG19" s="54">
        <f t="shared" si="19"/>
        <v>1.9962735685155719E-2</v>
      </c>
      <c r="CH19" s="54">
        <f t="shared" si="20"/>
        <v>1.3370597648177607E-2</v>
      </c>
      <c r="CI19" s="8"/>
      <c r="CJ19" s="8"/>
      <c r="CK19" s="8"/>
      <c r="CL19" s="8"/>
      <c r="CM19" s="9"/>
      <c r="CO19" s="45">
        <v>13.679616687520982</v>
      </c>
      <c r="CP19" s="33">
        <f t="shared" si="47"/>
        <v>14</v>
      </c>
      <c r="CQ19" s="45">
        <v>17.343058565019685</v>
      </c>
      <c r="CR19" s="33">
        <f t="shared" si="21"/>
        <v>0.65</v>
      </c>
      <c r="CS19" s="33">
        <f t="shared" si="22"/>
        <v>0.7</v>
      </c>
      <c r="CT19" s="45">
        <f t="shared" si="23"/>
        <v>0.73430585650196856</v>
      </c>
      <c r="CU19" s="45">
        <f t="shared" si="24"/>
        <v>8.4305856501968535E-2</v>
      </c>
      <c r="CV19" s="45">
        <f t="shared" si="25"/>
        <v>3.4305856501968601E-2</v>
      </c>
      <c r="CW19" s="8"/>
      <c r="CX19" s="8"/>
      <c r="CY19" s="8"/>
      <c r="CZ19" s="8"/>
      <c r="DA19" s="8"/>
      <c r="DB19" s="9"/>
      <c r="DD19" s="45">
        <v>13.228240656317212</v>
      </c>
      <c r="DE19" s="33">
        <f t="shared" si="48"/>
        <v>14</v>
      </c>
      <c r="DF19" s="45">
        <v>15.248260221269447</v>
      </c>
      <c r="DG19" s="33">
        <f t="shared" si="26"/>
        <v>0.65</v>
      </c>
      <c r="DH19" s="33">
        <f t="shared" si="27"/>
        <v>0.7</v>
      </c>
      <c r="DI19" s="45">
        <f t="shared" si="28"/>
        <v>0.52482602212694474</v>
      </c>
      <c r="DJ19" s="45">
        <f t="shared" si="29"/>
        <v>0.12517397787305529</v>
      </c>
      <c r="DK19" s="45">
        <f t="shared" si="30"/>
        <v>0.17517397787305522</v>
      </c>
      <c r="DL19" s="8"/>
      <c r="DM19" s="8"/>
      <c r="DN19" s="8"/>
      <c r="DO19" s="8"/>
      <c r="DP19" s="8"/>
      <c r="DQ19" s="9"/>
      <c r="DS19" s="21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9"/>
      <c r="EH19" s="52">
        <f t="shared" si="50"/>
        <v>14</v>
      </c>
      <c r="EI19" s="47">
        <v>8.4538788895588368</v>
      </c>
      <c r="EJ19" s="47">
        <v>4.36392555355269</v>
      </c>
      <c r="EK19" s="47">
        <f t="shared" si="36"/>
        <v>0.26</v>
      </c>
      <c r="EL19" s="47">
        <f t="shared" si="37"/>
        <v>0.28000000000000003</v>
      </c>
      <c r="EM19" s="45">
        <f t="shared" si="38"/>
        <v>0.29462788301960874</v>
      </c>
      <c r="EN19" s="45">
        <f t="shared" si="39"/>
        <v>3.4627883019608729E-2</v>
      </c>
      <c r="EO19" s="45">
        <f t="shared" si="40"/>
        <v>1.4627883019608712E-2</v>
      </c>
      <c r="EP19" s="8"/>
      <c r="EQ19" s="8"/>
      <c r="ER19" s="8"/>
      <c r="ES19" s="8"/>
      <c r="ET19" s="9"/>
      <c r="EV19" s="21">
        <f t="shared" si="41"/>
        <v>15</v>
      </c>
      <c r="EW19" s="25">
        <v>4.0353461498671095</v>
      </c>
      <c r="EX19" s="25">
        <v>4.3904413031486911</v>
      </c>
      <c r="EY19" s="8">
        <f t="shared" si="8"/>
        <v>19.275974836393978</v>
      </c>
      <c r="EZ19" s="7"/>
      <c r="FA19" s="8"/>
      <c r="FB19" s="8"/>
      <c r="FC19" s="8"/>
      <c r="FD19" s="8"/>
      <c r="FE19" s="8"/>
      <c r="FF19" s="8"/>
      <c r="FG19" s="8"/>
      <c r="FH19" s="8"/>
      <c r="FI19" s="9"/>
      <c r="FK19" s="21" t="s">
        <v>301</v>
      </c>
      <c r="FL19" s="8"/>
      <c r="FM19" s="8"/>
      <c r="FN19" s="8"/>
      <c r="FO19" s="8"/>
      <c r="FP19" s="8"/>
      <c r="FQ19" s="8"/>
      <c r="FR19" s="8"/>
      <c r="FS19" s="7" t="s">
        <v>222</v>
      </c>
      <c r="FT19" s="28">
        <f>+FQ27^2/FQ9</f>
        <v>0.9082297783091583</v>
      </c>
      <c r="FU19" s="7"/>
      <c r="FV19" s="9"/>
      <c r="FX19" s="21" t="s">
        <v>301</v>
      </c>
      <c r="FY19" s="8"/>
      <c r="FZ19" s="8"/>
      <c r="GA19" s="8"/>
      <c r="GB19" s="8"/>
      <c r="GC19" s="8"/>
      <c r="GD19" s="8"/>
      <c r="GE19" s="8"/>
      <c r="GF19" s="85" t="s">
        <v>222</v>
      </c>
      <c r="GG19" s="28">
        <f>+GD27^2/GD9</f>
        <v>0.69515358874611743</v>
      </c>
      <c r="GH19" s="7"/>
      <c r="GI19" s="9"/>
      <c r="GK19" s="66">
        <v>18.694176484714262</v>
      </c>
      <c r="GL19" s="8"/>
      <c r="GM19" s="8">
        <f t="shared" si="51"/>
        <v>13</v>
      </c>
      <c r="GN19" s="63">
        <v>15.303380147670396</v>
      </c>
      <c r="GO19" s="8"/>
      <c r="GP19" s="8"/>
      <c r="GQ19" s="8"/>
      <c r="GR19" s="8"/>
      <c r="GS19" s="8"/>
      <c r="GT19" s="8"/>
      <c r="GU19" s="8"/>
      <c r="GV19" s="8"/>
      <c r="GW19" s="8"/>
      <c r="GX19" s="9"/>
      <c r="GZ19" s="21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9"/>
      <c r="HN19" s="21"/>
      <c r="HO19" s="31" t="s">
        <v>162</v>
      </c>
      <c r="HP19" s="8">
        <v>10</v>
      </c>
      <c r="HQ19" s="8"/>
      <c r="HR19" s="8"/>
      <c r="HS19" s="8"/>
      <c r="HT19" s="8"/>
      <c r="HU19" s="8"/>
      <c r="HV19" s="8"/>
      <c r="HW19" s="8"/>
      <c r="HX19" s="8"/>
      <c r="HY19" s="8"/>
      <c r="HZ19" s="9"/>
      <c r="IA19" s="8"/>
      <c r="IB19" s="21"/>
      <c r="IC19" s="8" t="s">
        <v>316</v>
      </c>
      <c r="ID19" s="28">
        <f t="shared" si="69"/>
        <v>1.2534273403838603E-2</v>
      </c>
      <c r="IE19" s="28">
        <f t="shared" si="69"/>
        <v>0.51915393654524067</v>
      </c>
      <c r="IF19" s="28">
        <f t="shared" si="69"/>
        <v>0.11374853113983566</v>
      </c>
      <c r="IG19" s="28">
        <f t="shared" si="69"/>
        <v>2.9377203290246789E-2</v>
      </c>
      <c r="IH19" s="28">
        <f t="shared" si="69"/>
        <v>0.28554641598119856</v>
      </c>
      <c r="II19" s="28">
        <f>SUM(ID19:IH19)</f>
        <v>0.96036036036036021</v>
      </c>
      <c r="IJ19" s="9"/>
      <c r="IL19" s="21"/>
      <c r="IM19" s="8" t="s">
        <v>328</v>
      </c>
      <c r="IN19" s="28">
        <f t="shared" si="70"/>
        <v>26.74613366150114</v>
      </c>
      <c r="IO19" s="28">
        <f t="shared" si="70"/>
        <v>2.2540179377595844</v>
      </c>
      <c r="IP19" s="28">
        <f t="shared" si="70"/>
        <v>9.9145251556164666</v>
      </c>
      <c r="IQ19" s="28">
        <f t="shared" si="70"/>
        <v>4.999131987608795</v>
      </c>
      <c r="IR19" s="28">
        <f t="shared" si="70"/>
        <v>16.790345913842572</v>
      </c>
      <c r="IS19" s="28">
        <f>SUM(IN19:IR19)</f>
        <v>60.704154656328555</v>
      </c>
      <c r="IT19" s="9"/>
      <c r="IV19" s="21"/>
      <c r="IW19" s="8" t="s">
        <v>275</v>
      </c>
      <c r="IX19" s="8"/>
      <c r="IY19" s="8"/>
      <c r="IZ19" s="8"/>
      <c r="JA19" s="7"/>
      <c r="JB19" s="7">
        <f>+SUM(JB5:JB18)</f>
        <v>92</v>
      </c>
      <c r="JC19" s="7"/>
      <c r="JD19" s="10">
        <f>+SUM(JD5:JD18)</f>
        <v>116</v>
      </c>
      <c r="JF19" s="21"/>
      <c r="JG19" s="7"/>
      <c r="JH19" s="7"/>
      <c r="JI19" s="7"/>
      <c r="JJ19" s="7"/>
      <c r="JK19" s="7"/>
      <c r="JL19" s="7"/>
      <c r="JM19" s="10"/>
      <c r="JN19" s="7"/>
      <c r="JO19" s="6"/>
      <c r="JP19" s="7">
        <f t="shared" si="43"/>
        <v>15</v>
      </c>
      <c r="JQ19" s="7">
        <v>54</v>
      </c>
      <c r="JR19" s="7">
        <v>55</v>
      </c>
      <c r="JS19" s="7">
        <f t="shared" si="13"/>
        <v>-1</v>
      </c>
      <c r="JT19" s="88"/>
      <c r="JU19" s="8">
        <v>2.5</v>
      </c>
      <c r="JV19" s="9"/>
    </row>
    <row r="20" spans="2:282" ht="16.5" x14ac:dyDescent="0.45">
      <c r="B20" s="6"/>
      <c r="C20" s="7">
        <v>4</v>
      </c>
      <c r="D20" s="7">
        <v>4</v>
      </c>
      <c r="E20" s="7">
        <f t="shared" si="65"/>
        <v>16</v>
      </c>
      <c r="F20" s="7">
        <f t="shared" si="67"/>
        <v>64</v>
      </c>
      <c r="G20" s="7"/>
      <c r="H20" s="8"/>
      <c r="I20" s="8"/>
      <c r="J20" s="8"/>
      <c r="K20" s="9"/>
      <c r="M20" s="6"/>
      <c r="N20" s="92">
        <v>4</v>
      </c>
      <c r="O20" s="92">
        <v>5</v>
      </c>
      <c r="P20" s="92">
        <f t="shared" si="66"/>
        <v>20</v>
      </c>
      <c r="Q20" s="92">
        <f t="shared" si="68"/>
        <v>80</v>
      </c>
      <c r="R20" s="92"/>
      <c r="S20" s="8"/>
      <c r="T20" s="8"/>
      <c r="U20" s="8"/>
      <c r="V20" s="9"/>
      <c r="X20" s="21"/>
      <c r="Y20" s="91" t="s">
        <v>240</v>
      </c>
      <c r="Z20" s="7">
        <v>14</v>
      </c>
      <c r="AA20" s="7">
        <f>1/5</f>
        <v>0.2</v>
      </c>
      <c r="AB20" s="7">
        <f>+AA20*$Z$9</f>
        <v>20</v>
      </c>
      <c r="AC20" s="7">
        <f>+(Z20-AB20)^2/AB20</f>
        <v>1.8</v>
      </c>
      <c r="AD20" s="7"/>
      <c r="AE20" s="91" t="s">
        <v>245</v>
      </c>
      <c r="AF20" s="7">
        <v>4</v>
      </c>
      <c r="AG20" s="7"/>
      <c r="AH20" s="8"/>
      <c r="AI20" s="9"/>
      <c r="AK20" s="21"/>
      <c r="AL20" s="7">
        <v>1</v>
      </c>
      <c r="AM20" s="7">
        <v>4</v>
      </c>
      <c r="AN20" s="7">
        <f t="shared" ref="AN20:AN29" si="71">+AL20*AM20</f>
        <v>4</v>
      </c>
      <c r="AO20" s="7"/>
      <c r="AP20" s="7"/>
      <c r="AQ20" s="8"/>
      <c r="AR20" s="8"/>
      <c r="AS20" s="8"/>
      <c r="AT20" s="8"/>
      <c r="AU20" s="9"/>
      <c r="AW20" s="21">
        <f t="shared" si="15"/>
        <v>16</v>
      </c>
      <c r="AX20" s="25">
        <v>6.2824202738338499</v>
      </c>
      <c r="AY20" s="25">
        <v>5.4029928984673461</v>
      </c>
      <c r="AZ20" s="8">
        <f t="shared" si="3"/>
        <v>29.192332260888573</v>
      </c>
      <c r="BA20" s="7"/>
      <c r="BB20" s="8"/>
      <c r="BC20" s="8"/>
      <c r="BD20" s="8"/>
      <c r="BE20" s="8"/>
      <c r="BF20" s="8"/>
      <c r="BG20" s="8"/>
      <c r="BH20" s="8"/>
      <c r="BI20" s="8"/>
      <c r="BJ20" s="9"/>
      <c r="BK20" s="8"/>
      <c r="BL20" s="21">
        <f t="shared" si="16"/>
        <v>16</v>
      </c>
      <c r="BM20" s="25">
        <v>6.2824202738338499</v>
      </c>
      <c r="BN20" s="25">
        <v>5.4029928984673461</v>
      </c>
      <c r="BO20" s="8">
        <f t="shared" si="4"/>
        <v>29.192332260888573</v>
      </c>
      <c r="BP20" s="7"/>
      <c r="BQ20" s="8"/>
      <c r="BR20" s="8"/>
      <c r="BS20" s="8"/>
      <c r="BT20" s="8"/>
      <c r="BU20" s="8"/>
      <c r="BV20" s="8"/>
      <c r="BW20" s="8"/>
      <c r="BX20" s="8"/>
      <c r="BY20" s="9"/>
      <c r="BZ20" s="8"/>
      <c r="CA20" s="52">
        <f t="shared" si="46"/>
        <v>15</v>
      </c>
      <c r="CB20" s="53">
        <v>1.8581702230731025</v>
      </c>
      <c r="CC20" s="53">
        <v>5.2394145920115989</v>
      </c>
      <c r="CD20" s="54">
        <f t="shared" si="17"/>
        <v>0.46666666666666667</v>
      </c>
      <c r="CE20" s="54">
        <f t="shared" si="18"/>
        <v>0.5</v>
      </c>
      <c r="CF20" s="52">
        <f t="shared" si="7"/>
        <v>0.45692986897006205</v>
      </c>
      <c r="CG20" s="54">
        <f t="shared" si="19"/>
        <v>9.7367976966046266E-3</v>
      </c>
      <c r="CH20" s="54">
        <f t="shared" si="20"/>
        <v>4.3070131029937953E-2</v>
      </c>
      <c r="CI20" s="8"/>
      <c r="CJ20" s="8"/>
      <c r="CK20" s="8"/>
      <c r="CL20" s="8"/>
      <c r="CM20" s="9"/>
      <c r="CO20" s="45">
        <v>13.158055360576189</v>
      </c>
      <c r="CP20" s="33">
        <f t="shared" si="47"/>
        <v>15</v>
      </c>
      <c r="CQ20" s="45">
        <v>17.822809533982358</v>
      </c>
      <c r="CR20" s="33">
        <f t="shared" si="21"/>
        <v>0.7</v>
      </c>
      <c r="CS20" s="33">
        <f t="shared" si="22"/>
        <v>0.75</v>
      </c>
      <c r="CT20" s="45">
        <f t="shared" si="23"/>
        <v>0.78228095339823578</v>
      </c>
      <c r="CU20" s="45">
        <f t="shared" si="24"/>
        <v>8.2280953398235823E-2</v>
      </c>
      <c r="CV20" s="45">
        <f t="shared" si="25"/>
        <v>3.2280953398235779E-2</v>
      </c>
      <c r="CW20" s="8"/>
      <c r="CX20" s="8" t="s">
        <v>234</v>
      </c>
      <c r="CY20" s="8" t="s">
        <v>61</v>
      </c>
      <c r="CZ20" s="8" t="s">
        <v>254</v>
      </c>
      <c r="DA20" s="8"/>
      <c r="DB20" s="9"/>
      <c r="DD20" s="45">
        <v>14.447700247401372</v>
      </c>
      <c r="DE20" s="33">
        <f t="shared" si="48"/>
        <v>15</v>
      </c>
      <c r="DF20" s="45">
        <v>15.400530097977025</v>
      </c>
      <c r="DG20" s="33">
        <f t="shared" si="26"/>
        <v>0.7</v>
      </c>
      <c r="DH20" s="33">
        <f t="shared" si="27"/>
        <v>0.75</v>
      </c>
      <c r="DI20" s="45">
        <f t="shared" si="28"/>
        <v>0.54005300979770254</v>
      </c>
      <c r="DJ20" s="45">
        <f t="shared" si="29"/>
        <v>0.15994699020229741</v>
      </c>
      <c r="DK20" s="45">
        <f t="shared" si="30"/>
        <v>0.20994699020229746</v>
      </c>
      <c r="DL20" s="8"/>
      <c r="DM20" s="8" t="s">
        <v>234</v>
      </c>
      <c r="DN20" s="8" t="s">
        <v>62</v>
      </c>
      <c r="DO20" s="8" t="s">
        <v>285</v>
      </c>
      <c r="DP20" s="8"/>
      <c r="DQ20" s="9"/>
      <c r="DS20" s="21"/>
      <c r="EA20" s="8"/>
      <c r="EB20" s="8" t="s">
        <v>234</v>
      </c>
      <c r="EC20" s="8" t="s">
        <v>63</v>
      </c>
      <c r="ED20" s="8" t="s">
        <v>254</v>
      </c>
      <c r="EE20" s="8"/>
      <c r="EF20" s="9"/>
      <c r="EH20" s="52">
        <f t="shared" si="50"/>
        <v>15</v>
      </c>
      <c r="EI20" s="47">
        <v>4.0353461498671095</v>
      </c>
      <c r="EJ20" s="47">
        <v>4.3904413031486911</v>
      </c>
      <c r="EK20" s="47">
        <f t="shared" si="36"/>
        <v>0.28000000000000003</v>
      </c>
      <c r="EL20" s="47">
        <f t="shared" si="37"/>
        <v>0.3</v>
      </c>
      <c r="EM20" s="45">
        <f t="shared" si="38"/>
        <v>0.30074739853588173</v>
      </c>
      <c r="EN20" s="45">
        <f t="shared" si="39"/>
        <v>2.07473985358817E-2</v>
      </c>
      <c r="EO20" s="45">
        <f t="shared" si="40"/>
        <v>7.473985358817381E-4</v>
      </c>
      <c r="EP20" s="8"/>
      <c r="EQ20" s="8"/>
      <c r="ER20" s="8"/>
      <c r="ES20" s="8"/>
      <c r="ET20" s="9"/>
      <c r="EV20" s="21">
        <f t="shared" si="41"/>
        <v>16</v>
      </c>
      <c r="EW20" s="25">
        <v>6.5351577076216927</v>
      </c>
      <c r="EX20" s="25">
        <v>4.4501661149115534</v>
      </c>
      <c r="EY20" s="8">
        <f t="shared" si="8"/>
        <v>19.803978450306989</v>
      </c>
      <c r="EZ20" s="7"/>
      <c r="FA20" s="8"/>
      <c r="FB20" s="8"/>
      <c r="FC20" s="8"/>
      <c r="FD20" s="8"/>
      <c r="FE20" s="8"/>
      <c r="FF20" s="8"/>
      <c r="FG20" s="8"/>
      <c r="FH20" s="8"/>
      <c r="FI20" s="9"/>
      <c r="FK20" s="21"/>
      <c r="FL20" s="8"/>
      <c r="FM20" s="64"/>
      <c r="FN20" s="64"/>
      <c r="FO20" s="8"/>
      <c r="FP20" s="8"/>
      <c r="FQ20" s="8"/>
      <c r="FR20" s="8"/>
      <c r="FS20" s="19" t="s">
        <v>302</v>
      </c>
      <c r="FT20" s="8"/>
      <c r="FU20" s="8"/>
      <c r="FV20" s="9"/>
      <c r="FX20" s="21"/>
      <c r="FY20" s="8"/>
      <c r="FZ20" s="64"/>
      <c r="GA20" s="64"/>
      <c r="GB20" s="8"/>
      <c r="GC20" s="8"/>
      <c r="GD20" s="8"/>
      <c r="GE20" s="8"/>
      <c r="GF20" s="19" t="s">
        <v>304</v>
      </c>
      <c r="GG20" s="8"/>
      <c r="GH20" s="8"/>
      <c r="GI20" s="9"/>
      <c r="GK20" s="66">
        <v>13.803873495489825</v>
      </c>
      <c r="GL20" s="8"/>
      <c r="GM20" s="8">
        <f t="shared" si="51"/>
        <v>14</v>
      </c>
      <c r="GN20" s="63">
        <v>15.650802576274145</v>
      </c>
      <c r="GO20" s="8"/>
      <c r="GP20" s="8"/>
      <c r="GQ20" s="8"/>
      <c r="GR20" s="8"/>
      <c r="GS20" s="8"/>
      <c r="GT20" s="8"/>
      <c r="GU20" s="8"/>
      <c r="GV20" s="8"/>
      <c r="GW20" s="8"/>
      <c r="GX20" s="9"/>
      <c r="GZ20" s="21"/>
      <c r="HA20" s="8" t="s">
        <v>166</v>
      </c>
      <c r="HB20" s="8" t="s">
        <v>254</v>
      </c>
      <c r="HC20" s="8"/>
      <c r="HD20" s="8"/>
      <c r="HE20" s="8"/>
      <c r="HF20" s="8"/>
      <c r="HG20" s="8"/>
      <c r="HH20" s="8"/>
      <c r="HI20" s="8"/>
      <c r="HJ20" s="8"/>
      <c r="HK20" s="8"/>
      <c r="HL20" s="9"/>
      <c r="HN20" s="21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9"/>
      <c r="IA20" s="8"/>
      <c r="IB20" s="21"/>
      <c r="IC20" s="8" t="s">
        <v>317</v>
      </c>
      <c r="ID20" s="28">
        <f t="shared" ref="ID20:IH20" si="72">SUM(ID18:ID19)</f>
        <v>6.4064064064064105E-2</v>
      </c>
      <c r="IE20" s="28">
        <f t="shared" si="72"/>
        <v>2.6534534534534537</v>
      </c>
      <c r="IF20" s="28">
        <f t="shared" si="72"/>
        <v>0.58138138138138162</v>
      </c>
      <c r="IG20" s="28">
        <f t="shared" si="72"/>
        <v>0.15015015015015012</v>
      </c>
      <c r="IH20" s="28">
        <f t="shared" si="72"/>
        <v>1.4594594594594597</v>
      </c>
      <c r="II20" s="28">
        <f>SUM(II18:II19)</f>
        <v>4.9085085085085094</v>
      </c>
      <c r="IJ20" s="9"/>
      <c r="IL20" s="21"/>
      <c r="IM20" s="8" t="s">
        <v>317</v>
      </c>
      <c r="IN20" s="28">
        <f t="shared" ref="IN20" si="73">SUM(IN18:IN19)</f>
        <v>52.903145436185071</v>
      </c>
      <c r="IO20" s="28">
        <f t="shared" ref="IO20" si="74">SUM(IO18:IO19)</f>
        <v>4.458387903321821</v>
      </c>
      <c r="IP20" s="28">
        <f t="shared" ref="IP20" si="75">SUM(IP18:IP19)</f>
        <v>19.610668699875745</v>
      </c>
      <c r="IQ20" s="28">
        <f t="shared" ref="IQ20" si="76">SUM(IQ18:IQ19)</f>
        <v>9.8881509358429476</v>
      </c>
      <c r="IR20" s="28">
        <f t="shared" ref="IR20" si="77">SUM(IR18:IR19)</f>
        <v>33.210860419891254</v>
      </c>
      <c r="IS20" s="28">
        <f>SUM(IS18:IS19)</f>
        <v>120.07121339511684</v>
      </c>
      <c r="IT20" s="9"/>
      <c r="IV20" s="21"/>
      <c r="IW20" s="8"/>
      <c r="IX20" s="8"/>
      <c r="IY20" s="8"/>
      <c r="IZ20" s="8"/>
      <c r="JA20" s="7"/>
      <c r="JB20" s="7"/>
      <c r="JC20" s="7"/>
      <c r="JD20" s="10"/>
      <c r="JF20" s="21"/>
      <c r="JG20" s="7" t="s">
        <v>212</v>
      </c>
      <c r="JH20" s="14" t="s">
        <v>338</v>
      </c>
      <c r="JI20" s="7"/>
      <c r="JJ20" s="7"/>
      <c r="JK20" s="7"/>
      <c r="JL20" s="7"/>
      <c r="JM20" s="10"/>
      <c r="JN20" s="7"/>
      <c r="JO20" s="6"/>
      <c r="JP20" s="7">
        <f t="shared" si="43"/>
        <v>16</v>
      </c>
      <c r="JQ20" s="7">
        <v>43</v>
      </c>
      <c r="JR20" s="7">
        <v>48</v>
      </c>
      <c r="JS20" s="7">
        <f t="shared" si="13"/>
        <v>-5</v>
      </c>
      <c r="JT20" s="7"/>
      <c r="JU20" s="8">
        <v>16</v>
      </c>
      <c r="JV20" s="9"/>
    </row>
    <row r="21" spans="2:282" ht="16.5" x14ac:dyDescent="0.45">
      <c r="B21" s="6"/>
      <c r="C21" s="7">
        <v>5</v>
      </c>
      <c r="D21" s="7">
        <v>3</v>
      </c>
      <c r="E21" s="7">
        <f t="shared" si="65"/>
        <v>15</v>
      </c>
      <c r="F21" s="7">
        <f t="shared" si="67"/>
        <v>75</v>
      </c>
      <c r="G21" s="7"/>
      <c r="H21" s="8"/>
      <c r="I21" s="8"/>
      <c r="J21" s="8"/>
      <c r="K21" s="9"/>
      <c r="M21" s="6"/>
      <c r="N21" s="92">
        <v>5</v>
      </c>
      <c r="O21" s="92">
        <v>4</v>
      </c>
      <c r="P21" s="92">
        <f t="shared" si="66"/>
        <v>20</v>
      </c>
      <c r="Q21" s="92">
        <f t="shared" si="68"/>
        <v>100</v>
      </c>
      <c r="R21" s="92"/>
      <c r="S21" s="8"/>
      <c r="T21" s="8"/>
      <c r="U21" s="8"/>
      <c r="V21" s="9"/>
      <c r="X21" s="21"/>
      <c r="Y21" s="91" t="s">
        <v>241</v>
      </c>
      <c r="Z21" s="7">
        <v>16</v>
      </c>
      <c r="AA21" s="7">
        <f>1/5</f>
        <v>0.2</v>
      </c>
      <c r="AB21" s="7">
        <f>+AA21*$Z$9</f>
        <v>20</v>
      </c>
      <c r="AC21" s="7">
        <f>+(Z21-AB21)^2/AB21</f>
        <v>0.8</v>
      </c>
      <c r="AD21" s="7"/>
      <c r="AE21" s="7" t="s">
        <v>8</v>
      </c>
      <c r="AF21" s="7">
        <v>9.4879999999999995</v>
      </c>
      <c r="AG21" s="7"/>
      <c r="AH21" s="8"/>
      <c r="AI21" s="9"/>
      <c r="AK21" s="21"/>
      <c r="AL21" s="7">
        <v>2</v>
      </c>
      <c r="AM21" s="7">
        <v>5</v>
      </c>
      <c r="AN21" s="7">
        <f t="shared" si="71"/>
        <v>10</v>
      </c>
      <c r="AO21" s="7"/>
      <c r="AP21" s="7"/>
      <c r="AQ21" s="8"/>
      <c r="AR21" s="8"/>
      <c r="AS21" s="8"/>
      <c r="AT21" s="8"/>
      <c r="AU21" s="9"/>
      <c r="AW21" s="21">
        <f t="shared" si="15"/>
        <v>17</v>
      </c>
      <c r="AX21" s="25">
        <v>5.2248234548242181</v>
      </c>
      <c r="AY21" s="25">
        <v>5.5147919662485947</v>
      </c>
      <c r="AZ21" s="8">
        <f t="shared" si="3"/>
        <v>30.412930431000042</v>
      </c>
      <c r="BA21" s="7"/>
      <c r="BB21" s="8"/>
      <c r="BC21" s="8"/>
      <c r="BD21" s="8"/>
      <c r="BE21" s="8"/>
      <c r="BF21" s="8"/>
      <c r="BG21" s="8"/>
      <c r="BH21" s="8"/>
      <c r="BI21" s="8"/>
      <c r="BJ21" s="9"/>
      <c r="BK21" s="8"/>
      <c r="BL21" s="21">
        <f t="shared" si="16"/>
        <v>17</v>
      </c>
      <c r="BM21" s="25">
        <v>5.2248234548242181</v>
      </c>
      <c r="BN21" s="25">
        <v>5.5147919662485947</v>
      </c>
      <c r="BO21" s="8">
        <f t="shared" si="4"/>
        <v>30.412930431000042</v>
      </c>
      <c r="BP21" s="7"/>
      <c r="BQ21" s="8"/>
      <c r="BR21" s="8"/>
      <c r="BS21" s="8"/>
      <c r="BT21" s="8"/>
      <c r="BU21" s="8"/>
      <c r="BV21" s="8"/>
      <c r="BW21" s="8"/>
      <c r="BX21" s="8"/>
      <c r="BY21" s="9"/>
      <c r="BZ21" s="8"/>
      <c r="CA21" s="52">
        <f t="shared" si="46"/>
        <v>16</v>
      </c>
      <c r="CB21" s="53">
        <v>6.2824202738338499</v>
      </c>
      <c r="CC21" s="53">
        <v>5.4029928984673461</v>
      </c>
      <c r="CD21" s="54">
        <f t="shared" si="17"/>
        <v>0.5</v>
      </c>
      <c r="CE21" s="54">
        <f t="shared" si="18"/>
        <v>0.53333333333333333</v>
      </c>
      <c r="CF21" s="52">
        <f t="shared" si="7"/>
        <v>0.49784359903684111</v>
      </c>
      <c r="CG21" s="54">
        <f t="shared" si="19"/>
        <v>2.1564009631588887E-3</v>
      </c>
      <c r="CH21" s="54">
        <f t="shared" si="20"/>
        <v>3.5489734296492215E-2</v>
      </c>
      <c r="CI21" s="8"/>
      <c r="CJ21" s="8"/>
      <c r="CK21" s="8"/>
      <c r="CL21" s="8"/>
      <c r="CM21" s="9"/>
      <c r="CO21" s="45">
        <v>17.822809533982358</v>
      </c>
      <c r="CP21" s="33">
        <f t="shared" si="47"/>
        <v>16</v>
      </c>
      <c r="CQ21" s="45">
        <v>19.076815088351083</v>
      </c>
      <c r="CR21" s="33">
        <f t="shared" si="21"/>
        <v>0.75</v>
      </c>
      <c r="CS21" s="33">
        <f t="shared" si="22"/>
        <v>0.8</v>
      </c>
      <c r="CT21" s="45">
        <f t="shared" si="23"/>
        <v>0.90768150883510823</v>
      </c>
      <c r="CU21" s="45">
        <f t="shared" si="24"/>
        <v>0.15768150883510823</v>
      </c>
      <c r="CV21" s="45">
        <f t="shared" si="25"/>
        <v>0.10768150883510819</v>
      </c>
      <c r="CW21" s="8"/>
      <c r="CX21" s="8"/>
      <c r="CY21" s="8"/>
      <c r="CZ21" s="8"/>
      <c r="DA21" s="8"/>
      <c r="DB21" s="9"/>
      <c r="DD21" s="45">
        <v>15.729514795239083</v>
      </c>
      <c r="DE21" s="33">
        <f t="shared" si="48"/>
        <v>16</v>
      </c>
      <c r="DF21" s="45">
        <v>15.729514795239083</v>
      </c>
      <c r="DG21" s="33">
        <f t="shared" si="26"/>
        <v>0.75</v>
      </c>
      <c r="DH21" s="33">
        <f t="shared" si="27"/>
        <v>0.8</v>
      </c>
      <c r="DI21" s="45">
        <f t="shared" si="28"/>
        <v>0.57295147952390835</v>
      </c>
      <c r="DJ21" s="45">
        <f t="shared" si="29"/>
        <v>0.17704852047609165</v>
      </c>
      <c r="DK21" s="45">
        <f t="shared" si="30"/>
        <v>0.2270485204760917</v>
      </c>
      <c r="DL21" s="8"/>
      <c r="DM21" s="8"/>
      <c r="DN21" s="8"/>
      <c r="DO21" s="8"/>
      <c r="DP21" s="8"/>
      <c r="DQ21" s="9"/>
      <c r="DS21" s="21"/>
      <c r="EA21" s="8"/>
      <c r="EB21" s="8"/>
      <c r="EC21" s="8"/>
      <c r="ED21" s="8"/>
      <c r="EE21" s="8"/>
      <c r="EF21" s="9"/>
      <c r="EH21" s="52">
        <f t="shared" si="50"/>
        <v>16</v>
      </c>
      <c r="EI21" s="47">
        <v>6.5351577076216927</v>
      </c>
      <c r="EJ21" s="47">
        <v>4.4501661149115534</v>
      </c>
      <c r="EK21" s="47">
        <f t="shared" si="36"/>
        <v>0.3</v>
      </c>
      <c r="EL21" s="47">
        <f t="shared" si="37"/>
        <v>0.32</v>
      </c>
      <c r="EM21" s="45">
        <f t="shared" si="38"/>
        <v>0.31473671035187778</v>
      </c>
      <c r="EN21" s="45">
        <f t="shared" si="39"/>
        <v>1.4736710351877791E-2</v>
      </c>
      <c r="EO21" s="45">
        <f t="shared" si="40"/>
        <v>5.2632896481222269E-3</v>
      </c>
      <c r="EP21" s="8"/>
      <c r="EQ21" s="8"/>
      <c r="ER21" s="8"/>
      <c r="ES21" s="8"/>
      <c r="ET21" s="9"/>
      <c r="EV21" s="21">
        <f t="shared" si="41"/>
        <v>17</v>
      </c>
      <c r="EW21" s="25">
        <v>7.3745997168589383</v>
      </c>
      <c r="EX21" s="25">
        <v>4.5456903434387641</v>
      </c>
      <c r="EY21" s="8">
        <f t="shared" si="8"/>
        <v>20.66330069843243</v>
      </c>
      <c r="EZ21" s="7"/>
      <c r="FA21" s="8"/>
      <c r="FB21" s="8"/>
      <c r="FC21" s="8"/>
      <c r="FD21" s="8"/>
      <c r="FE21" s="8"/>
      <c r="FF21" s="8"/>
      <c r="FG21" s="8"/>
      <c r="FH21" s="8"/>
      <c r="FI21" s="9"/>
      <c r="FK21" s="21" t="s">
        <v>7</v>
      </c>
      <c r="FL21" s="31" t="s">
        <v>110</v>
      </c>
      <c r="FM21" s="8" t="s">
        <v>112</v>
      </c>
      <c r="FN21" s="67" t="s">
        <v>111</v>
      </c>
      <c r="FO21" s="7" t="s">
        <v>113</v>
      </c>
      <c r="FP21" s="7" t="s">
        <v>114</v>
      </c>
      <c r="FQ21" s="7" t="s">
        <v>115</v>
      </c>
      <c r="FR21" s="8"/>
      <c r="FS21" s="8"/>
      <c r="FT21" s="8"/>
      <c r="FU21" s="8"/>
      <c r="FV21" s="9"/>
      <c r="FX21" s="21" t="s">
        <v>7</v>
      </c>
      <c r="FY21" s="31" t="s">
        <v>110</v>
      </c>
      <c r="FZ21" s="8" t="s">
        <v>112</v>
      </c>
      <c r="GA21" s="67" t="s">
        <v>111</v>
      </c>
      <c r="GB21" s="7" t="s">
        <v>113</v>
      </c>
      <c r="GC21" s="7" t="s">
        <v>114</v>
      </c>
      <c r="GD21" s="7" t="s">
        <v>115</v>
      </c>
      <c r="GE21" s="8"/>
      <c r="GF21" s="8"/>
      <c r="GG21" s="8"/>
      <c r="GH21" s="8"/>
      <c r="GI21" s="9"/>
      <c r="GK21" s="66">
        <v>6.5766238700598478</v>
      </c>
      <c r="GL21" s="8"/>
      <c r="GM21" s="8">
        <f t="shared" si="51"/>
        <v>15</v>
      </c>
      <c r="GN21" s="63">
        <v>16.729404175421223</v>
      </c>
      <c r="GO21" s="8"/>
      <c r="GP21" s="8"/>
      <c r="GQ21" s="8"/>
      <c r="GR21" s="8"/>
      <c r="GS21" s="8"/>
      <c r="GT21" s="8"/>
      <c r="GU21" s="8"/>
      <c r="GV21" s="8"/>
      <c r="GW21" s="8"/>
      <c r="GX21" s="9"/>
      <c r="GZ21" s="21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9"/>
      <c r="HN21" s="21"/>
      <c r="HO21" s="8" t="s">
        <v>231</v>
      </c>
      <c r="HP21" s="93" t="s">
        <v>359</v>
      </c>
      <c r="HQ21" s="93" t="s">
        <v>163</v>
      </c>
      <c r="HR21" s="93" t="s">
        <v>361</v>
      </c>
      <c r="HT21" s="93"/>
      <c r="HU21" s="8"/>
      <c r="HV21" s="8"/>
      <c r="HW21" s="8"/>
      <c r="HX21" s="8"/>
      <c r="HY21" s="8"/>
      <c r="HZ21" s="9"/>
      <c r="IA21" s="8"/>
      <c r="IB21" s="21"/>
      <c r="IC21" s="8"/>
      <c r="ID21" s="8"/>
      <c r="IE21" s="8"/>
      <c r="IF21" s="8"/>
      <c r="IG21" s="8"/>
      <c r="IH21" s="8"/>
      <c r="II21" s="8"/>
      <c r="IJ21" s="9"/>
      <c r="IL21" s="21"/>
      <c r="IM21" s="8"/>
      <c r="IN21" s="8"/>
      <c r="IO21" s="8"/>
      <c r="IP21" s="8"/>
      <c r="IQ21" s="8"/>
      <c r="IR21" s="8"/>
      <c r="IS21" s="8"/>
      <c r="IT21" s="9"/>
      <c r="IV21" s="21"/>
      <c r="IW21" s="8" t="s">
        <v>171</v>
      </c>
      <c r="IX21" s="8">
        <f>+COUNT(IW5:IW14)</f>
        <v>10</v>
      </c>
      <c r="IY21" s="8"/>
      <c r="IZ21" s="8"/>
      <c r="JA21" s="7"/>
      <c r="JB21" s="7"/>
      <c r="JC21" s="7"/>
      <c r="JD21" s="10"/>
      <c r="JF21" s="21"/>
      <c r="JG21" s="7" t="s">
        <v>213</v>
      </c>
      <c r="JH21" s="14" t="s">
        <v>339</v>
      </c>
      <c r="JI21" s="7"/>
      <c r="JJ21" s="7"/>
      <c r="JK21" s="7"/>
      <c r="JL21" s="7"/>
      <c r="JM21" s="10"/>
      <c r="JN21" s="7"/>
      <c r="JO21" s="6"/>
      <c r="JP21" s="7">
        <f t="shared" si="43"/>
        <v>17</v>
      </c>
      <c r="JQ21" s="7">
        <v>45</v>
      </c>
      <c r="JR21" s="7">
        <v>46</v>
      </c>
      <c r="JS21" s="7">
        <f t="shared" si="13"/>
        <v>-1</v>
      </c>
      <c r="JT21" s="7"/>
      <c r="JU21" s="8">
        <v>2.5</v>
      </c>
      <c r="JV21" s="9"/>
    </row>
    <row r="22" spans="2:282" x14ac:dyDescent="0.35">
      <c r="B22" s="6"/>
      <c r="C22" s="7">
        <v>6</v>
      </c>
      <c r="D22" s="7">
        <v>2</v>
      </c>
      <c r="E22" s="7">
        <f t="shared" si="65"/>
        <v>12</v>
      </c>
      <c r="F22" s="7">
        <f t="shared" si="67"/>
        <v>72</v>
      </c>
      <c r="G22" s="7"/>
      <c r="H22" s="8"/>
      <c r="I22" s="8"/>
      <c r="J22" s="8"/>
      <c r="K22" s="9"/>
      <c r="M22" s="6"/>
      <c r="N22" s="92">
        <v>6</v>
      </c>
      <c r="O22" s="92">
        <v>5</v>
      </c>
      <c r="P22" s="92">
        <f t="shared" si="66"/>
        <v>30</v>
      </c>
      <c r="Q22" s="92">
        <f t="shared" si="68"/>
        <v>180</v>
      </c>
      <c r="R22" s="92"/>
      <c r="S22" s="8"/>
      <c r="T22" s="8"/>
      <c r="U22" s="8"/>
      <c r="V22" s="9"/>
      <c r="X22" s="21"/>
      <c r="Y22" s="7" t="s">
        <v>7</v>
      </c>
      <c r="Z22" s="7">
        <f>SUM(Z17:Z21)</f>
        <v>100</v>
      </c>
      <c r="AA22" s="7">
        <f>SUM(AA17:AA21)</f>
        <v>1</v>
      </c>
      <c r="AB22" s="7">
        <f>+AA22*$Z$9</f>
        <v>100</v>
      </c>
      <c r="AC22" s="19">
        <f>SUM(AC17:AC21)</f>
        <v>8.4</v>
      </c>
      <c r="AD22" s="7"/>
      <c r="AE22" s="91" t="s">
        <v>231</v>
      </c>
      <c r="AF22" s="7">
        <f>+AF21</f>
        <v>9.4879999999999995</v>
      </c>
      <c r="AG22" s="13" t="s">
        <v>11</v>
      </c>
      <c r="AH22" s="8"/>
      <c r="AI22" s="9"/>
      <c r="AK22" s="21"/>
      <c r="AL22" s="7">
        <v>3</v>
      </c>
      <c r="AM22" s="7">
        <v>7</v>
      </c>
      <c r="AN22" s="7">
        <f t="shared" si="71"/>
        <v>21</v>
      </c>
      <c r="AO22" s="7"/>
      <c r="AP22" s="7"/>
      <c r="AQ22" s="8"/>
      <c r="AR22" s="8"/>
      <c r="AS22" s="8"/>
      <c r="AT22" s="8"/>
      <c r="AU22" s="9"/>
      <c r="AW22" s="21">
        <f t="shared" si="15"/>
        <v>18</v>
      </c>
      <c r="AX22" s="25">
        <v>5.4029928984673461</v>
      </c>
      <c r="AY22" s="25">
        <v>5.5374287209415343</v>
      </c>
      <c r="AZ22" s="8">
        <f t="shared" si="3"/>
        <v>30.663116839508195</v>
      </c>
      <c r="BA22" s="7"/>
      <c r="BB22" s="8"/>
      <c r="BC22" s="8"/>
      <c r="BD22" s="8"/>
      <c r="BE22" s="8"/>
      <c r="BF22" s="8"/>
      <c r="BG22" s="8"/>
      <c r="BH22" s="8"/>
      <c r="BI22" s="8"/>
      <c r="BJ22" s="9"/>
      <c r="BK22" s="8"/>
      <c r="BL22" s="21">
        <f t="shared" si="16"/>
        <v>18</v>
      </c>
      <c r="BM22" s="25">
        <v>5.4029928984673461</v>
      </c>
      <c r="BN22" s="25">
        <v>5.5374287209415343</v>
      </c>
      <c r="BO22" s="8">
        <f t="shared" si="4"/>
        <v>30.663116839508195</v>
      </c>
      <c r="BP22" s="7"/>
      <c r="BQ22" s="8"/>
      <c r="BR22" s="8"/>
      <c r="BS22" s="8"/>
      <c r="BT22" s="8"/>
      <c r="BU22" s="8"/>
      <c r="BV22" s="8"/>
      <c r="BW22" s="8"/>
      <c r="BX22" s="8"/>
      <c r="BY22" s="9"/>
      <c r="BZ22" s="8"/>
      <c r="CA22" s="52">
        <f t="shared" si="46"/>
        <v>17</v>
      </c>
      <c r="CB22" s="53">
        <v>5.2248234548242181</v>
      </c>
      <c r="CC22" s="53">
        <v>5.5147919662485947</v>
      </c>
      <c r="CD22" s="54">
        <f t="shared" si="17"/>
        <v>0.53333333333333333</v>
      </c>
      <c r="CE22" s="54">
        <f t="shared" si="18"/>
        <v>0.56666666666666665</v>
      </c>
      <c r="CF22" s="52">
        <f t="shared" si="7"/>
        <v>0.5258457502129017</v>
      </c>
      <c r="CG22" s="54">
        <f t="shared" si="19"/>
        <v>7.487583120431629E-3</v>
      </c>
      <c r="CH22" s="54">
        <f t="shared" si="20"/>
        <v>4.0820916453764955E-2</v>
      </c>
      <c r="CI22" s="8"/>
      <c r="CJ22" s="8"/>
      <c r="CK22" s="8"/>
      <c r="CL22" s="8"/>
      <c r="CM22" s="9"/>
      <c r="CO22" s="45">
        <v>12.981353190710166</v>
      </c>
      <c r="CP22" s="33">
        <f t="shared" si="47"/>
        <v>17</v>
      </c>
      <c r="CQ22" s="45">
        <v>19.167149876400039</v>
      </c>
      <c r="CR22" s="33">
        <f t="shared" si="21"/>
        <v>0.8</v>
      </c>
      <c r="CS22" s="33">
        <f t="shared" si="22"/>
        <v>0.85</v>
      </c>
      <c r="CT22" s="45">
        <f t="shared" si="23"/>
        <v>0.91671498764000392</v>
      </c>
      <c r="CU22" s="45">
        <f t="shared" si="24"/>
        <v>0.11671498764000388</v>
      </c>
      <c r="CV22" s="45">
        <f t="shared" si="25"/>
        <v>6.6714987640003942E-2</v>
      </c>
      <c r="CW22" s="8"/>
      <c r="CX22" s="8"/>
      <c r="CY22" s="8"/>
      <c r="CZ22" s="8"/>
      <c r="DA22" s="8"/>
      <c r="DB22" s="9"/>
      <c r="DD22" s="45">
        <v>14.414403646369465</v>
      </c>
      <c r="DE22" s="33">
        <f t="shared" si="48"/>
        <v>17</v>
      </c>
      <c r="DF22" s="45">
        <v>15.983709469437599</v>
      </c>
      <c r="DG22" s="33">
        <f t="shared" si="26"/>
        <v>0.8</v>
      </c>
      <c r="DH22" s="33">
        <f t="shared" si="27"/>
        <v>0.85</v>
      </c>
      <c r="DI22" s="45">
        <f t="shared" si="28"/>
        <v>0.59837094694375992</v>
      </c>
      <c r="DJ22" s="45">
        <f t="shared" si="29"/>
        <v>0.20162905305624013</v>
      </c>
      <c r="DK22" s="45">
        <f t="shared" si="30"/>
        <v>0.25162905305624006</v>
      </c>
      <c r="DL22" s="8"/>
      <c r="DM22" s="8"/>
      <c r="DN22" s="8"/>
      <c r="DO22" s="8"/>
      <c r="DP22" s="8"/>
      <c r="DQ22" s="9"/>
      <c r="DS22" s="21"/>
      <c r="EA22" s="8"/>
      <c r="EB22" s="8"/>
      <c r="EC22" s="8"/>
      <c r="ED22" s="8"/>
      <c r="EE22" s="8"/>
      <c r="EF22" s="9"/>
      <c r="EH22" s="52">
        <f t="shared" si="50"/>
        <v>17</v>
      </c>
      <c r="EI22" s="47">
        <v>7.3745997168589383</v>
      </c>
      <c r="EJ22" s="47">
        <v>4.5456903434387641</v>
      </c>
      <c r="EK22" s="47">
        <f t="shared" si="36"/>
        <v>0.32</v>
      </c>
      <c r="EL22" s="47">
        <f t="shared" si="37"/>
        <v>0.34</v>
      </c>
      <c r="EM22" s="45">
        <f t="shared" si="38"/>
        <v>0.33766748161811849</v>
      </c>
      <c r="EN22" s="45">
        <f t="shared" si="39"/>
        <v>1.7667481618118486E-2</v>
      </c>
      <c r="EO22" s="45">
        <f t="shared" si="40"/>
        <v>2.332518381881532E-3</v>
      </c>
      <c r="EP22" s="8"/>
      <c r="EQ22" s="8"/>
      <c r="ER22" s="8"/>
      <c r="ES22" s="8"/>
      <c r="ET22" s="9"/>
      <c r="EV22" s="21">
        <f t="shared" si="41"/>
        <v>18</v>
      </c>
      <c r="EW22" s="25">
        <v>4.7001873452973086</v>
      </c>
      <c r="EX22" s="25">
        <v>4.605885818709794</v>
      </c>
      <c r="EY22" s="8">
        <f t="shared" si="8"/>
        <v>21.214184174991988</v>
      </c>
      <c r="EZ22" s="7"/>
      <c r="FA22" s="8"/>
      <c r="FB22" s="8"/>
      <c r="FC22" s="8"/>
      <c r="FD22" s="8"/>
      <c r="FE22" s="8"/>
      <c r="FF22" s="8"/>
      <c r="FG22" s="8"/>
      <c r="FH22" s="8"/>
      <c r="FI22" s="9"/>
      <c r="FK22" s="21">
        <v>10</v>
      </c>
      <c r="FL22" s="8">
        <f>+FK22/2</f>
        <v>5</v>
      </c>
      <c r="FM22" s="61">
        <v>1</v>
      </c>
      <c r="FN22" s="28">
        <v>0.57389999999999997</v>
      </c>
      <c r="FO22" s="61">
        <f>+$FK$22-FM22+1</f>
        <v>10</v>
      </c>
      <c r="FP22" s="64">
        <f>+FN16-FN7</f>
        <v>2.8942122298758477</v>
      </c>
      <c r="FQ22" s="28">
        <f>+FN22*FP22</f>
        <v>1.660988398725749</v>
      </c>
      <c r="FR22" s="8"/>
      <c r="FS22" s="8"/>
      <c r="FT22" s="8"/>
      <c r="FU22" s="8"/>
      <c r="FV22" s="9"/>
      <c r="FX22" s="21">
        <v>10</v>
      </c>
      <c r="FY22" s="8">
        <f>+FX22/2</f>
        <v>5</v>
      </c>
      <c r="FZ22" s="61">
        <v>1</v>
      </c>
      <c r="GA22" s="28">
        <v>0.57389999999999997</v>
      </c>
      <c r="GB22" s="61">
        <f>+$FK$22-FZ22+1</f>
        <v>10</v>
      </c>
      <c r="GC22" s="64">
        <f>+GA16-GA7</f>
        <v>8.357871042273473</v>
      </c>
      <c r="GD22" s="28">
        <f>+GA22*GC22</f>
        <v>4.7965821911607458</v>
      </c>
      <c r="GE22" s="8"/>
      <c r="GF22" s="8"/>
      <c r="GG22" s="8"/>
      <c r="GH22" s="8"/>
      <c r="GI22" s="9"/>
      <c r="GK22" s="66">
        <v>10.263215168961324</v>
      </c>
      <c r="GL22" s="8"/>
      <c r="GM22" s="8">
        <f t="shared" ref="GM22:GM30" si="78">1+GM21</f>
        <v>16</v>
      </c>
      <c r="GN22" s="63">
        <v>17.003762347158045</v>
      </c>
      <c r="GO22" s="8"/>
      <c r="GP22" s="8"/>
      <c r="GQ22" s="8"/>
      <c r="GR22" s="8"/>
      <c r="GS22" s="8"/>
      <c r="GT22" s="8"/>
      <c r="GU22" s="8"/>
      <c r="GV22" s="8"/>
      <c r="GW22" s="8"/>
      <c r="GX22" s="9"/>
      <c r="GZ22" s="21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9"/>
      <c r="HN22" s="21"/>
      <c r="HO22" s="8" t="s">
        <v>232</v>
      </c>
      <c r="HP22" s="80" t="s">
        <v>164</v>
      </c>
      <c r="HQ22" s="80" t="s">
        <v>362</v>
      </c>
      <c r="HR22" s="8"/>
      <c r="HS22" s="8"/>
      <c r="HT22" s="8"/>
      <c r="HU22" s="8"/>
      <c r="HV22" s="8"/>
      <c r="HW22" s="8"/>
      <c r="HX22" s="8"/>
      <c r="HY22" s="8"/>
      <c r="HZ22" s="9"/>
      <c r="IA22" s="8"/>
      <c r="IB22" s="21"/>
      <c r="IC22" s="8" t="s">
        <v>318</v>
      </c>
      <c r="ID22" s="8"/>
      <c r="IE22" s="8"/>
      <c r="IF22" s="8"/>
      <c r="IG22" s="8"/>
      <c r="IH22" s="8"/>
      <c r="II22" s="8"/>
      <c r="IJ22" s="9"/>
      <c r="IL22" s="21"/>
      <c r="IM22" s="8" t="s">
        <v>329</v>
      </c>
      <c r="IN22" s="8"/>
      <c r="IO22" s="8"/>
      <c r="IP22" s="8"/>
      <c r="IQ22" s="8"/>
      <c r="IR22" s="8"/>
      <c r="IS22" s="8"/>
      <c r="IT22" s="9"/>
      <c r="IV22" s="21"/>
      <c r="IW22" s="8" t="s">
        <v>173</v>
      </c>
      <c r="IX22" s="8">
        <f>+COUNT(IX5:IX16)</f>
        <v>12</v>
      </c>
      <c r="IY22" s="8"/>
      <c r="IZ22" s="8"/>
      <c r="JA22" s="7" t="s">
        <v>212</v>
      </c>
      <c r="JB22" s="14" t="s">
        <v>338</v>
      </c>
      <c r="JC22" s="7"/>
      <c r="JD22" s="10"/>
      <c r="JF22" s="21"/>
      <c r="JG22" s="7"/>
      <c r="JH22" s="7"/>
      <c r="JI22" s="7"/>
      <c r="JJ22" s="7"/>
      <c r="JK22" s="7"/>
      <c r="JL22" s="7"/>
      <c r="JM22" s="10"/>
      <c r="JN22" s="7"/>
      <c r="JO22" s="6"/>
      <c r="JP22" s="7">
        <f t="shared" si="43"/>
        <v>18</v>
      </c>
      <c r="JQ22" s="7">
        <v>29</v>
      </c>
      <c r="JR22" s="7">
        <v>32</v>
      </c>
      <c r="JS22" s="7">
        <f t="shared" si="13"/>
        <v>-3</v>
      </c>
      <c r="JT22" s="7"/>
      <c r="JU22" s="8">
        <v>10</v>
      </c>
      <c r="JV22" s="9"/>
    </row>
    <row r="23" spans="2:282" x14ac:dyDescent="0.35">
      <c r="B23" s="6"/>
      <c r="C23" s="7">
        <v>8</v>
      </c>
      <c r="D23" s="7">
        <v>2</v>
      </c>
      <c r="E23" s="7">
        <f t="shared" si="65"/>
        <v>16</v>
      </c>
      <c r="F23" s="7">
        <f t="shared" si="67"/>
        <v>128</v>
      </c>
      <c r="G23" s="7"/>
      <c r="H23" s="8"/>
      <c r="I23" s="8"/>
      <c r="J23" s="8"/>
      <c r="K23" s="9"/>
      <c r="M23" s="6"/>
      <c r="N23" s="92">
        <v>8</v>
      </c>
      <c r="O23" s="92">
        <v>4</v>
      </c>
      <c r="P23" s="92">
        <f t="shared" si="66"/>
        <v>32</v>
      </c>
      <c r="Q23" s="92">
        <f t="shared" si="68"/>
        <v>256</v>
      </c>
      <c r="R23" s="92"/>
      <c r="S23" s="8"/>
      <c r="T23" s="8"/>
      <c r="U23" s="8"/>
      <c r="V23" s="9"/>
      <c r="X23" s="21"/>
      <c r="Y23" s="7"/>
      <c r="Z23" s="7"/>
      <c r="AA23" s="7"/>
      <c r="AB23" s="7"/>
      <c r="AC23" s="7"/>
      <c r="AD23" s="7"/>
      <c r="AE23" s="91" t="s">
        <v>232</v>
      </c>
      <c r="AF23" s="13">
        <v>0</v>
      </c>
      <c r="AG23" s="7">
        <f>+AF22</f>
        <v>9.4879999999999995</v>
      </c>
      <c r="AH23" s="8"/>
      <c r="AI23" s="9"/>
      <c r="AK23" s="21"/>
      <c r="AL23" s="7">
        <v>4</v>
      </c>
      <c r="AM23" s="7">
        <v>8</v>
      </c>
      <c r="AN23" s="7">
        <f t="shared" si="71"/>
        <v>32</v>
      </c>
      <c r="AO23" s="7"/>
      <c r="AP23" s="7"/>
      <c r="AQ23" s="8"/>
      <c r="AR23" s="8"/>
      <c r="AS23" s="8"/>
      <c r="AT23" s="8"/>
      <c r="AU23" s="9"/>
      <c r="AW23" s="21">
        <f t="shared" si="15"/>
        <v>19</v>
      </c>
      <c r="AX23" s="25">
        <v>8.1468150634973426</v>
      </c>
      <c r="AY23" s="25">
        <v>5.8008371449031984</v>
      </c>
      <c r="AZ23" s="8">
        <f t="shared" si="3"/>
        <v>33.649711581688692</v>
      </c>
      <c r="BA23" s="7"/>
      <c r="BB23" s="8"/>
      <c r="BC23" s="8"/>
      <c r="BD23" s="8"/>
      <c r="BE23" s="8"/>
      <c r="BF23" s="8"/>
      <c r="BG23" s="8"/>
      <c r="BH23" s="8"/>
      <c r="BI23" s="8"/>
      <c r="BJ23" s="9"/>
      <c r="BK23" s="8"/>
      <c r="BL23" s="21">
        <f t="shared" si="16"/>
        <v>19</v>
      </c>
      <c r="BM23" s="25">
        <v>8.1468150634973426</v>
      </c>
      <c r="BN23" s="25">
        <v>5.8008371449031984</v>
      </c>
      <c r="BO23" s="8">
        <f t="shared" si="4"/>
        <v>33.649711581688692</v>
      </c>
      <c r="BP23" s="7"/>
      <c r="BQ23" s="8"/>
      <c r="BR23" s="8"/>
      <c r="BS23" s="8"/>
      <c r="BT23" s="8"/>
      <c r="BU23" s="8"/>
      <c r="BV23" s="8"/>
      <c r="BW23" s="8"/>
      <c r="BX23" s="8"/>
      <c r="BY23" s="9"/>
      <c r="BZ23" s="8"/>
      <c r="CA23" s="52">
        <f t="shared" si="46"/>
        <v>18</v>
      </c>
      <c r="CB23" s="53">
        <v>5.4029928984673461</v>
      </c>
      <c r="CC23" s="53">
        <v>5.5374287209415343</v>
      </c>
      <c r="CD23" s="54">
        <f t="shared" si="17"/>
        <v>0.56666666666666665</v>
      </c>
      <c r="CE23" s="54">
        <f t="shared" si="18"/>
        <v>0.6</v>
      </c>
      <c r="CF23" s="52">
        <f t="shared" si="7"/>
        <v>0.53150450350193079</v>
      </c>
      <c r="CG23" s="54">
        <f t="shared" si="19"/>
        <v>3.516216316473586E-2</v>
      </c>
      <c r="CH23" s="54">
        <f t="shared" si="20"/>
        <v>6.8495496498069186E-2</v>
      </c>
      <c r="CI23" s="8"/>
      <c r="CJ23" s="8"/>
      <c r="CK23" s="8"/>
      <c r="CL23" s="8"/>
      <c r="CM23" s="9"/>
      <c r="CO23" s="45">
        <v>19.69084749900815</v>
      </c>
      <c r="CP23" s="33">
        <f t="shared" si="47"/>
        <v>18</v>
      </c>
      <c r="CQ23" s="45">
        <v>19.69084749900815</v>
      </c>
      <c r="CR23" s="33">
        <f t="shared" si="21"/>
        <v>0.85</v>
      </c>
      <c r="CS23" s="33">
        <f t="shared" si="22"/>
        <v>0.9</v>
      </c>
      <c r="CT23" s="45">
        <f t="shared" si="23"/>
        <v>0.96908474990081506</v>
      </c>
      <c r="CU23" s="45">
        <f t="shared" si="24"/>
        <v>0.11908474990081508</v>
      </c>
      <c r="CV23" s="45">
        <f t="shared" si="25"/>
        <v>6.9084749900815035E-2</v>
      </c>
      <c r="CW23" s="8"/>
      <c r="CX23" s="8"/>
      <c r="CY23" s="8"/>
      <c r="CZ23" s="8"/>
      <c r="DA23" s="8"/>
      <c r="DB23" s="9"/>
      <c r="DD23" s="45">
        <v>17.964225132018328</v>
      </c>
      <c r="DE23" s="33">
        <f t="shared" si="48"/>
        <v>18</v>
      </c>
      <c r="DF23" s="45">
        <v>16.090477326215478</v>
      </c>
      <c r="DG23" s="33">
        <f t="shared" si="26"/>
        <v>0.85</v>
      </c>
      <c r="DH23" s="33">
        <f t="shared" si="27"/>
        <v>0.9</v>
      </c>
      <c r="DI23" s="45">
        <f t="shared" si="28"/>
        <v>0.60904773262154777</v>
      </c>
      <c r="DJ23" s="45">
        <f t="shared" si="29"/>
        <v>0.24095226737845221</v>
      </c>
      <c r="DK23" s="45">
        <f t="shared" si="30"/>
        <v>0.29095226737845226</v>
      </c>
      <c r="DL23" s="8"/>
      <c r="DM23" s="8"/>
      <c r="DN23" s="8"/>
      <c r="DO23" s="8"/>
      <c r="DP23" s="8"/>
      <c r="DQ23" s="9"/>
      <c r="DS23" s="21"/>
      <c r="EA23" s="8"/>
      <c r="EB23" s="8"/>
      <c r="EC23" s="8"/>
      <c r="ED23" s="8"/>
      <c r="EE23" s="8"/>
      <c r="EF23" s="9"/>
      <c r="EH23" s="52">
        <f t="shared" si="50"/>
        <v>18</v>
      </c>
      <c r="EI23" s="47">
        <v>4.7001873452973086</v>
      </c>
      <c r="EJ23" s="47">
        <v>4.605885818709794</v>
      </c>
      <c r="EK23" s="47">
        <f t="shared" si="36"/>
        <v>0.34</v>
      </c>
      <c r="EL23" s="47">
        <f t="shared" si="37"/>
        <v>0.36</v>
      </c>
      <c r="EM23" s="45">
        <f t="shared" si="38"/>
        <v>0.35244050637567476</v>
      </c>
      <c r="EN23" s="45">
        <f t="shared" si="39"/>
        <v>1.2440506375674731E-2</v>
      </c>
      <c r="EO23" s="45">
        <f t="shared" si="40"/>
        <v>7.5594936243252309E-3</v>
      </c>
      <c r="EP23" s="8"/>
      <c r="EQ23" s="8"/>
      <c r="ER23" s="8"/>
      <c r="ES23" s="8"/>
      <c r="ET23" s="9"/>
      <c r="EV23" s="21">
        <f t="shared" si="41"/>
        <v>19</v>
      </c>
      <c r="EW23" s="25">
        <v>3.6072862157016061</v>
      </c>
      <c r="EX23" s="25">
        <v>4.7001873452973086</v>
      </c>
      <c r="EY23" s="8">
        <f t="shared" si="8"/>
        <v>22.091761080892962</v>
      </c>
      <c r="EZ23" s="7"/>
      <c r="FA23" s="8"/>
      <c r="FB23" s="8"/>
      <c r="FC23" s="8"/>
      <c r="FD23" s="8"/>
      <c r="FE23" s="8"/>
      <c r="FF23" s="8"/>
      <c r="FG23" s="8"/>
      <c r="FH23" s="8"/>
      <c r="FI23" s="9"/>
      <c r="FK23" s="21"/>
      <c r="FL23" s="8"/>
      <c r="FM23" s="61">
        <v>2</v>
      </c>
      <c r="FN23" s="28">
        <v>0.3291</v>
      </c>
      <c r="FO23" s="61">
        <f>+$FK$22-FM23+1</f>
        <v>9</v>
      </c>
      <c r="FP23" s="64">
        <f>+FN15-FN8</f>
        <v>2.0392440092109609</v>
      </c>
      <c r="FQ23" s="28">
        <f>+FN23*FP23</f>
        <v>0.67111520343132725</v>
      </c>
      <c r="FR23" s="8"/>
      <c r="FS23" s="8"/>
      <c r="FT23" s="8"/>
      <c r="FU23" s="8"/>
      <c r="FV23" s="9"/>
      <c r="FX23" s="21"/>
      <c r="FY23" s="8"/>
      <c r="FZ23" s="61">
        <v>2</v>
      </c>
      <c r="GA23" s="28">
        <v>0.3291</v>
      </c>
      <c r="GB23" s="61">
        <f>+$FK$22-FZ23+1</f>
        <v>9</v>
      </c>
      <c r="GC23" s="64">
        <f>+GA15-GA8</f>
        <v>2.7834767024614848</v>
      </c>
      <c r="GD23" s="28">
        <f>+GA23*GC23</f>
        <v>0.91604218278007465</v>
      </c>
      <c r="GE23" s="8"/>
      <c r="GF23" s="8"/>
      <c r="GG23" s="8"/>
      <c r="GH23" s="8"/>
      <c r="GI23" s="9"/>
      <c r="GK23" s="66">
        <v>14.341753209591843</v>
      </c>
      <c r="GL23" s="8"/>
      <c r="GM23" s="8">
        <f t="shared" si="78"/>
        <v>17</v>
      </c>
      <c r="GN23" s="63">
        <v>18.115528670605272</v>
      </c>
      <c r="GO23" s="8"/>
      <c r="GP23" s="8"/>
      <c r="GQ23" s="8"/>
      <c r="GR23" s="8"/>
      <c r="GS23" s="8"/>
      <c r="GT23" s="8"/>
      <c r="GU23" s="8"/>
      <c r="GV23" s="8"/>
      <c r="GW23" s="8"/>
      <c r="GX23" s="9"/>
      <c r="GZ23" s="21"/>
      <c r="HA23" s="8" t="s">
        <v>167</v>
      </c>
      <c r="HB23" s="8" t="s">
        <v>151</v>
      </c>
      <c r="HC23" s="8" t="s">
        <v>151</v>
      </c>
      <c r="HD23" s="8" t="s">
        <v>151</v>
      </c>
      <c r="HE23" s="8" t="s">
        <v>151</v>
      </c>
      <c r="HF23" s="8" t="s">
        <v>152</v>
      </c>
      <c r="HG23" s="8" t="s">
        <v>152</v>
      </c>
      <c r="HH23" s="8" t="s">
        <v>152</v>
      </c>
      <c r="HI23" s="8" t="s">
        <v>151</v>
      </c>
      <c r="HJ23" s="8" t="s">
        <v>151</v>
      </c>
      <c r="HK23" s="8" t="s">
        <v>151</v>
      </c>
      <c r="HL23" s="9" t="s">
        <v>151</v>
      </c>
      <c r="HN23" s="21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9"/>
      <c r="IA23" s="8"/>
      <c r="IB23" s="21"/>
      <c r="IC23" s="8" t="s">
        <v>319</v>
      </c>
      <c r="ID23" s="8"/>
      <c r="IE23" s="8"/>
      <c r="IF23" s="8"/>
      <c r="IG23" s="8"/>
      <c r="IH23" s="8"/>
      <c r="II23" s="8"/>
      <c r="IJ23" s="9"/>
      <c r="IL23" s="21"/>
      <c r="IM23" s="8" t="s">
        <v>330</v>
      </c>
      <c r="IN23" s="8"/>
      <c r="IO23" s="8"/>
      <c r="IP23" s="8"/>
      <c r="IQ23" s="8"/>
      <c r="IR23" s="8"/>
      <c r="IS23" s="8"/>
      <c r="IT23" s="9"/>
      <c r="IV23" s="21"/>
      <c r="IW23" s="8" t="s">
        <v>201</v>
      </c>
      <c r="IX23" s="8">
        <f>+JB19</f>
        <v>92</v>
      </c>
      <c r="IY23" s="8"/>
      <c r="IZ23" s="8"/>
      <c r="JA23" s="7" t="s">
        <v>213</v>
      </c>
      <c r="JB23" s="14" t="s">
        <v>339</v>
      </c>
      <c r="JC23" s="7"/>
      <c r="JD23" s="10"/>
      <c r="JF23" s="21"/>
      <c r="JG23" s="7"/>
      <c r="JH23" s="7"/>
      <c r="JI23" s="7"/>
      <c r="JJ23" s="7"/>
      <c r="JK23" s="7"/>
      <c r="JL23" s="7"/>
      <c r="JM23" s="10"/>
      <c r="JN23" s="7"/>
      <c r="JO23" s="6"/>
      <c r="JP23" s="7">
        <f t="shared" si="43"/>
        <v>19</v>
      </c>
      <c r="JQ23" s="7">
        <v>31</v>
      </c>
      <c r="JR23" s="7">
        <v>30</v>
      </c>
      <c r="JS23" s="7">
        <f t="shared" si="13"/>
        <v>1</v>
      </c>
      <c r="JT23" s="8">
        <v>2.5</v>
      </c>
      <c r="JU23" s="8"/>
      <c r="JV23" s="9"/>
    </row>
    <row r="24" spans="2:282" ht="16.5" x14ac:dyDescent="0.45">
      <c r="B24" s="6"/>
      <c r="C24" s="7">
        <v>10</v>
      </c>
      <c r="D24" s="7">
        <v>1</v>
      </c>
      <c r="E24" s="7">
        <f t="shared" si="65"/>
        <v>10</v>
      </c>
      <c r="F24" s="7">
        <f t="shared" si="67"/>
        <v>100</v>
      </c>
      <c r="G24" s="7"/>
      <c r="H24" s="8"/>
      <c r="I24" s="8"/>
      <c r="J24" s="8"/>
      <c r="K24" s="9"/>
      <c r="M24" s="6"/>
      <c r="N24" s="92">
        <v>10</v>
      </c>
      <c r="O24" s="92">
        <v>4</v>
      </c>
      <c r="P24" s="92">
        <f t="shared" si="66"/>
        <v>40</v>
      </c>
      <c r="Q24" s="92">
        <f t="shared" si="68"/>
        <v>400</v>
      </c>
      <c r="R24" s="92"/>
      <c r="S24" s="8"/>
      <c r="T24" s="8"/>
      <c r="U24" s="8"/>
      <c r="V24" s="9"/>
      <c r="X24" s="21"/>
      <c r="Y24" s="7"/>
      <c r="Z24" s="7"/>
      <c r="AA24" s="7"/>
      <c r="AB24" s="7"/>
      <c r="AC24" s="7"/>
      <c r="AD24" s="7"/>
      <c r="AE24" s="7"/>
      <c r="AF24" s="7"/>
      <c r="AG24" s="7"/>
      <c r="AH24" s="8"/>
      <c r="AI24" s="9"/>
      <c r="AK24" s="21"/>
      <c r="AL24" s="7">
        <v>5</v>
      </c>
      <c r="AM24" s="7">
        <v>5</v>
      </c>
      <c r="AN24" s="7">
        <f t="shared" si="71"/>
        <v>25</v>
      </c>
      <c r="AO24" s="7"/>
      <c r="AP24" s="7"/>
      <c r="AQ24" s="8"/>
      <c r="AR24" s="8"/>
      <c r="AS24" s="8"/>
      <c r="AT24" s="8"/>
      <c r="AU24" s="9"/>
      <c r="AW24" s="21">
        <f t="shared" si="15"/>
        <v>20</v>
      </c>
      <c r="AX24" s="25">
        <v>2.1385174174210988</v>
      </c>
      <c r="AY24" s="25">
        <v>5.9866801658754412</v>
      </c>
      <c r="AZ24" s="8">
        <f t="shared" si="3"/>
        <v>35.8403394084864</v>
      </c>
      <c r="BA24" s="7"/>
      <c r="BB24" s="8"/>
      <c r="BC24" s="8"/>
      <c r="BD24" s="8"/>
      <c r="BE24" s="8"/>
      <c r="BF24" s="8"/>
      <c r="BG24" s="8"/>
      <c r="BH24" s="8"/>
      <c r="BI24" s="8"/>
      <c r="BJ24" s="9"/>
      <c r="BK24" s="8"/>
      <c r="BL24" s="21">
        <f t="shared" si="16"/>
        <v>20</v>
      </c>
      <c r="BM24" s="25">
        <v>2.1385174174210988</v>
      </c>
      <c r="BN24" s="25">
        <v>5.9866801658754412</v>
      </c>
      <c r="BO24" s="8">
        <f t="shared" si="4"/>
        <v>35.8403394084864</v>
      </c>
      <c r="BP24" s="7"/>
      <c r="BQ24" s="8"/>
      <c r="BR24" s="8"/>
      <c r="BS24" s="8"/>
      <c r="BT24" s="8"/>
      <c r="BU24" s="8"/>
      <c r="BV24" s="8"/>
      <c r="BW24" s="8"/>
      <c r="BX24" s="8"/>
      <c r="BY24" s="9"/>
      <c r="BZ24" s="8"/>
      <c r="CA24" s="52">
        <f t="shared" si="46"/>
        <v>19</v>
      </c>
      <c r="CB24" s="53">
        <v>8.1468150634973426</v>
      </c>
      <c r="CC24" s="53">
        <v>5.8008371449031984</v>
      </c>
      <c r="CD24" s="54">
        <f t="shared" si="17"/>
        <v>0.6</v>
      </c>
      <c r="CE24" s="54">
        <f t="shared" si="18"/>
        <v>0.6333333333333333</v>
      </c>
      <c r="CF24" s="52">
        <f t="shared" si="7"/>
        <v>0.59659192822195839</v>
      </c>
      <c r="CG24" s="54">
        <f t="shared" si="19"/>
        <v>3.4080717780415881E-3</v>
      </c>
      <c r="CH24" s="54">
        <f t="shared" si="20"/>
        <v>3.6741405111374914E-2</v>
      </c>
      <c r="CI24" s="8"/>
      <c r="CJ24" s="8"/>
      <c r="CK24" s="8"/>
      <c r="CL24" s="8"/>
      <c r="CM24" s="9"/>
      <c r="CO24" s="45">
        <v>19.076815088351083</v>
      </c>
      <c r="CP24" s="33">
        <f t="shared" si="47"/>
        <v>19</v>
      </c>
      <c r="CQ24" s="45">
        <v>19.948728904080326</v>
      </c>
      <c r="CR24" s="33">
        <f t="shared" si="21"/>
        <v>0.9</v>
      </c>
      <c r="CS24" s="33">
        <f t="shared" si="22"/>
        <v>0.95</v>
      </c>
      <c r="CT24" s="45">
        <f t="shared" si="23"/>
        <v>0.99487289040803262</v>
      </c>
      <c r="CU24" s="45">
        <f t="shared" si="24"/>
        <v>9.4872890408032595E-2</v>
      </c>
      <c r="CV24" s="45">
        <f t="shared" si="25"/>
        <v>4.4872890408032662E-2</v>
      </c>
      <c r="CW24" s="8"/>
      <c r="CX24" s="8"/>
      <c r="CY24" s="8"/>
      <c r="CZ24" s="8"/>
      <c r="DA24" s="8"/>
      <c r="DB24" s="9"/>
      <c r="DD24" s="45">
        <v>15.983709469437599</v>
      </c>
      <c r="DE24" s="33">
        <f t="shared" si="48"/>
        <v>19</v>
      </c>
      <c r="DF24" s="45">
        <v>16.402231646352448</v>
      </c>
      <c r="DG24" s="33">
        <f t="shared" si="26"/>
        <v>0.9</v>
      </c>
      <c r="DH24" s="33">
        <f t="shared" si="27"/>
        <v>0.95</v>
      </c>
      <c r="DI24" s="45">
        <f t="shared" si="28"/>
        <v>0.64022316463524476</v>
      </c>
      <c r="DJ24" s="45">
        <f t="shared" si="29"/>
        <v>0.25977683536475527</v>
      </c>
      <c r="DK24" s="45">
        <f t="shared" si="30"/>
        <v>0.3097768353647552</v>
      </c>
      <c r="DL24" s="8"/>
      <c r="DM24" s="8"/>
      <c r="DN24" s="8"/>
      <c r="DO24" s="8"/>
      <c r="DP24" s="8"/>
      <c r="DQ24" s="9"/>
      <c r="DS24" s="21"/>
      <c r="EA24" s="8"/>
      <c r="EB24" s="8"/>
      <c r="EC24" s="8"/>
      <c r="ED24" s="8"/>
      <c r="EE24" s="8"/>
      <c r="EF24" s="9"/>
      <c r="EH24" s="52">
        <f t="shared" si="50"/>
        <v>19</v>
      </c>
      <c r="EI24" s="47">
        <v>3.6072862157016061</v>
      </c>
      <c r="EJ24" s="47">
        <v>4.7001873452973086</v>
      </c>
      <c r="EK24" s="47">
        <f t="shared" si="36"/>
        <v>0.36</v>
      </c>
      <c r="EL24" s="47">
        <f t="shared" si="37"/>
        <v>0.38</v>
      </c>
      <c r="EM24" s="45">
        <f t="shared" si="38"/>
        <v>0.37603023384751494</v>
      </c>
      <c r="EN24" s="45">
        <f t="shared" si="39"/>
        <v>1.6030233847514952E-2</v>
      </c>
      <c r="EO24" s="45">
        <f t="shared" si="40"/>
        <v>3.9697661524850658E-3</v>
      </c>
      <c r="EP24" s="8"/>
      <c r="EQ24" s="8"/>
      <c r="ER24" s="8"/>
      <c r="ES24" s="8"/>
      <c r="ET24" s="9"/>
      <c r="EV24" s="21">
        <f t="shared" si="41"/>
        <v>20</v>
      </c>
      <c r="EW24" s="25">
        <v>4.5456903434387641</v>
      </c>
      <c r="EX24" s="25">
        <v>4.7710528987227008</v>
      </c>
      <c r="EY24" s="8">
        <f t="shared" si="8"/>
        <v>22.762945762410286</v>
      </c>
      <c r="EZ24" s="7"/>
      <c r="FA24" s="8"/>
      <c r="FB24" s="8"/>
      <c r="FC24" s="8"/>
      <c r="FD24" s="8"/>
      <c r="FE24" s="8"/>
      <c r="FF24" s="8"/>
      <c r="FG24" s="8"/>
      <c r="FH24" s="8"/>
      <c r="FI24" s="9"/>
      <c r="FK24" s="21"/>
      <c r="FL24" s="8"/>
      <c r="FM24" s="61">
        <v>3</v>
      </c>
      <c r="FN24" s="28">
        <v>0.21410000000000001</v>
      </c>
      <c r="FO24" s="61">
        <f>+$FK$22-FM24+1</f>
        <v>8</v>
      </c>
      <c r="FP24" s="64">
        <f>+FN14-FN9</f>
        <v>0.98382884061720688</v>
      </c>
      <c r="FQ24" s="28">
        <f>+FN24*FP24</f>
        <v>0.21063775477614399</v>
      </c>
      <c r="FR24" s="8"/>
      <c r="FS24" s="8"/>
      <c r="FT24" s="8"/>
      <c r="FU24" s="8"/>
      <c r="FV24" s="9"/>
      <c r="FX24" s="21"/>
      <c r="FY24" s="8"/>
      <c r="FZ24" s="61">
        <v>3</v>
      </c>
      <c r="GA24" s="28">
        <v>0.21410000000000001</v>
      </c>
      <c r="GB24" s="61">
        <f>+$FK$22-FZ24+1</f>
        <v>8</v>
      </c>
      <c r="GC24" s="64">
        <f>+GA14-GA9</f>
        <v>1.6327931007253937</v>
      </c>
      <c r="GD24" s="28">
        <f>+GA24*GC24</f>
        <v>0.3495810028653068</v>
      </c>
      <c r="GE24" s="8"/>
      <c r="GF24" s="8"/>
      <c r="GG24" s="8"/>
      <c r="GH24" s="8"/>
      <c r="GI24" s="9"/>
      <c r="GK24" s="66">
        <v>11.939704942633398</v>
      </c>
      <c r="GL24" s="8"/>
      <c r="GM24" s="8">
        <f t="shared" si="78"/>
        <v>18</v>
      </c>
      <c r="GN24" s="63">
        <v>18.170534910168499</v>
      </c>
      <c r="GO24" s="8"/>
      <c r="GP24" s="8"/>
      <c r="GQ24" s="8"/>
      <c r="GR24" s="8"/>
      <c r="GS24" s="8"/>
      <c r="GT24" s="8"/>
      <c r="GU24" s="8"/>
      <c r="GV24" s="8"/>
      <c r="GW24" s="8"/>
      <c r="GX24" s="9"/>
      <c r="GZ24" s="21"/>
      <c r="HA24" s="8"/>
      <c r="HB24" s="8" t="s">
        <v>152</v>
      </c>
      <c r="HC24" s="8" t="s">
        <v>152</v>
      </c>
      <c r="HD24" s="8" t="s">
        <v>152</v>
      </c>
      <c r="HE24" s="8" t="s">
        <v>152</v>
      </c>
      <c r="HF24" s="8" t="s">
        <v>152</v>
      </c>
      <c r="HG24" s="8" t="s">
        <v>151</v>
      </c>
      <c r="HH24" s="8" t="s">
        <v>151</v>
      </c>
      <c r="HI24" s="8" t="s">
        <v>151</v>
      </c>
      <c r="HJ24" s="8" t="s">
        <v>151</v>
      </c>
      <c r="HK24" s="8" t="s">
        <v>151</v>
      </c>
      <c r="HL24" s="9" t="s">
        <v>151</v>
      </c>
      <c r="HN24" s="21"/>
      <c r="HO24" s="8" t="s">
        <v>363</v>
      </c>
      <c r="HP24" s="8" t="s">
        <v>254</v>
      </c>
      <c r="HQ24" s="8"/>
      <c r="HR24" s="8"/>
      <c r="HS24" s="8"/>
      <c r="HT24" s="8"/>
      <c r="HU24" s="8"/>
      <c r="HV24" s="8"/>
      <c r="HW24" s="8"/>
      <c r="HX24" s="8"/>
      <c r="HY24" s="8"/>
      <c r="HZ24" s="9"/>
      <c r="IA24" s="8"/>
      <c r="IB24" s="21"/>
      <c r="IC24" s="50"/>
      <c r="ID24" s="8"/>
      <c r="IE24" s="8"/>
      <c r="IF24" s="8"/>
      <c r="IG24" s="8"/>
      <c r="IH24" s="8"/>
      <c r="II24" s="8"/>
      <c r="IJ24" s="9"/>
      <c r="IL24" s="21"/>
      <c r="IM24" s="50"/>
      <c r="IN24" s="8"/>
      <c r="IO24" s="8"/>
      <c r="IP24" s="8"/>
      <c r="IQ24" s="8"/>
      <c r="IR24" s="8"/>
      <c r="IS24" s="8"/>
      <c r="IT24" s="9"/>
      <c r="IV24" s="21"/>
      <c r="IW24" s="8" t="s">
        <v>202</v>
      </c>
      <c r="IX24" s="8">
        <f>+JD19</f>
        <v>116</v>
      </c>
      <c r="IY24" s="8"/>
      <c r="IZ24" s="8"/>
      <c r="JA24" s="7"/>
      <c r="JB24" s="7"/>
      <c r="JC24" s="7"/>
      <c r="JD24" s="10"/>
      <c r="JF24" s="21"/>
      <c r="JG24" s="14" t="s">
        <v>214</v>
      </c>
      <c r="JH24" s="7">
        <f>+JK17</f>
        <v>3.5</v>
      </c>
      <c r="JI24" s="7"/>
      <c r="JJ24" s="7"/>
      <c r="JK24" s="7"/>
      <c r="JL24" s="7"/>
      <c r="JM24" s="10"/>
      <c r="JN24" s="7"/>
      <c r="JO24" s="6"/>
      <c r="JP24" s="7">
        <f t="shared" si="43"/>
        <v>20</v>
      </c>
      <c r="JQ24" s="7">
        <v>35</v>
      </c>
      <c r="JR24" s="7">
        <v>47</v>
      </c>
      <c r="JS24" s="7">
        <f t="shared" si="13"/>
        <v>-12</v>
      </c>
      <c r="JT24" s="7"/>
      <c r="JU24" s="50">
        <v>25</v>
      </c>
      <c r="JV24" s="9"/>
    </row>
    <row r="25" spans="2:282" x14ac:dyDescent="0.35">
      <c r="B25" s="6"/>
      <c r="C25" s="7" t="s">
        <v>7</v>
      </c>
      <c r="D25" s="7">
        <f>SUM(D16:D24)</f>
        <v>42</v>
      </c>
      <c r="E25" s="7">
        <f>SUM(E16:E24)</f>
        <v>123</v>
      </c>
      <c r="F25" s="7">
        <f>SUM(F16:F24)</f>
        <v>567</v>
      </c>
      <c r="G25" s="7"/>
      <c r="H25" s="8"/>
      <c r="I25" s="8"/>
      <c r="J25" s="8"/>
      <c r="K25" s="9"/>
      <c r="M25" s="6"/>
      <c r="N25" s="92" t="s">
        <v>7</v>
      </c>
      <c r="O25" s="92">
        <f>SUM(O16:O24)</f>
        <v>50</v>
      </c>
      <c r="P25" s="92">
        <f>SUM(P16:P24)</f>
        <v>187</v>
      </c>
      <c r="Q25" s="92">
        <f>SUM(Q16:Q24)</f>
        <v>1125</v>
      </c>
      <c r="R25" s="92"/>
      <c r="S25" s="8"/>
      <c r="T25" s="8"/>
      <c r="U25" s="8"/>
      <c r="V25" s="9"/>
      <c r="X25" s="21"/>
      <c r="Y25" s="8"/>
      <c r="Z25" s="8"/>
      <c r="AA25" s="8"/>
      <c r="AB25" s="8"/>
      <c r="AC25" s="8"/>
      <c r="AD25" s="8"/>
      <c r="AE25" s="7" t="s">
        <v>10</v>
      </c>
      <c r="AF25" s="7">
        <f>+AC22</f>
        <v>8.4</v>
      </c>
      <c r="AG25" s="7"/>
      <c r="AH25" s="8"/>
      <c r="AI25" s="9"/>
      <c r="AK25" s="21"/>
      <c r="AL25" s="7">
        <v>6</v>
      </c>
      <c r="AM25" s="7">
        <v>3</v>
      </c>
      <c r="AN25" s="7">
        <f t="shared" si="71"/>
        <v>18</v>
      </c>
      <c r="AO25" s="7"/>
      <c r="AP25" s="7"/>
      <c r="AQ25" s="8"/>
      <c r="AR25" s="8"/>
      <c r="AS25" s="8"/>
      <c r="AT25" s="8"/>
      <c r="AU25" s="9"/>
      <c r="AW25" s="21">
        <f t="shared" si="15"/>
        <v>21</v>
      </c>
      <c r="AX25" s="25">
        <v>4.8252244520481327</v>
      </c>
      <c r="AY25" s="25">
        <v>6.1772144742062665</v>
      </c>
      <c r="AZ25" s="8">
        <f t="shared" si="3"/>
        <v>38.157978660343403</v>
      </c>
      <c r="BA25" s="7"/>
      <c r="BB25" s="8"/>
      <c r="BC25" s="8"/>
      <c r="BD25" s="8"/>
      <c r="BE25" s="8"/>
      <c r="BF25" s="8"/>
      <c r="BG25" s="8"/>
      <c r="BH25" s="8"/>
      <c r="BI25" s="8"/>
      <c r="BJ25" s="9"/>
      <c r="BK25" s="8"/>
      <c r="BL25" s="21">
        <f t="shared" si="16"/>
        <v>21</v>
      </c>
      <c r="BM25" s="25">
        <v>4.8252244520481327</v>
      </c>
      <c r="BN25" s="25">
        <v>6.1772144742062665</v>
      </c>
      <c r="BO25" s="8">
        <f t="shared" si="4"/>
        <v>38.157978660343403</v>
      </c>
      <c r="BP25" s="7"/>
      <c r="BQ25" s="8"/>
      <c r="BR25" s="8"/>
      <c r="BS25" s="8"/>
      <c r="BT25" s="8"/>
      <c r="BU25" s="8"/>
      <c r="BV25" s="8"/>
      <c r="BW25" s="8"/>
      <c r="BX25" s="8"/>
      <c r="BY25" s="9"/>
      <c r="BZ25" s="8"/>
      <c r="CA25" s="52">
        <f t="shared" si="46"/>
        <v>20</v>
      </c>
      <c r="CB25" s="53">
        <v>2.1385174174210988</v>
      </c>
      <c r="CC25" s="53">
        <v>5.9866801658754412</v>
      </c>
      <c r="CD25" s="54">
        <f t="shared" si="17"/>
        <v>0.6333333333333333</v>
      </c>
      <c r="CE25" s="54">
        <f t="shared" si="18"/>
        <v>0.66666666666666663</v>
      </c>
      <c r="CF25" s="52">
        <f t="shared" si="7"/>
        <v>0.64105831541076119</v>
      </c>
      <c r="CG25" s="54">
        <f t="shared" si="19"/>
        <v>7.7249820774278888E-3</v>
      </c>
      <c r="CH25" s="54">
        <f t="shared" si="20"/>
        <v>2.5608351255905437E-2</v>
      </c>
      <c r="CI25" s="8"/>
      <c r="CJ25" s="8"/>
      <c r="CK25" s="8"/>
      <c r="CL25" s="8"/>
      <c r="CM25" s="9"/>
      <c r="CO25" s="45">
        <v>19.167149876400039</v>
      </c>
      <c r="CP25" s="33">
        <f t="shared" si="47"/>
        <v>20</v>
      </c>
      <c r="CQ25" s="45">
        <v>19.980773339030122</v>
      </c>
      <c r="CR25" s="33">
        <f t="shared" si="21"/>
        <v>0.95</v>
      </c>
      <c r="CS25" s="33">
        <f t="shared" si="22"/>
        <v>1</v>
      </c>
      <c r="CT25" s="45">
        <f t="shared" si="23"/>
        <v>0.99807733390301223</v>
      </c>
      <c r="CU25" s="45">
        <f t="shared" si="24"/>
        <v>4.8077333903012276E-2</v>
      </c>
      <c r="CV25" s="45">
        <f t="shared" si="25"/>
        <v>1.9226660969877685E-3</v>
      </c>
      <c r="CW25" s="8"/>
      <c r="CX25" s="8"/>
      <c r="CY25" s="8"/>
      <c r="CZ25" s="8"/>
      <c r="DA25" s="8"/>
      <c r="DB25" s="9"/>
      <c r="DD25" s="45">
        <v>15.400530097977025</v>
      </c>
      <c r="DE25" s="33">
        <f t="shared" si="48"/>
        <v>20</v>
      </c>
      <c r="DF25" s="45">
        <v>17.964225132018328</v>
      </c>
      <c r="DG25" s="33">
        <f t="shared" si="26"/>
        <v>0.95</v>
      </c>
      <c r="DH25" s="33">
        <f t="shared" si="27"/>
        <v>1</v>
      </c>
      <c r="DI25" s="45">
        <f t="shared" si="28"/>
        <v>0.79642251320183277</v>
      </c>
      <c r="DJ25" s="45">
        <f t="shared" si="29"/>
        <v>0.15357748679816718</v>
      </c>
      <c r="DK25" s="45">
        <f t="shared" si="30"/>
        <v>0.20357748679816723</v>
      </c>
      <c r="DL25" s="8"/>
      <c r="DM25" s="8"/>
      <c r="DN25" s="8"/>
      <c r="DO25" s="8"/>
      <c r="DP25" s="8"/>
      <c r="DQ25" s="9"/>
      <c r="DS25" s="21"/>
      <c r="EA25" s="8"/>
      <c r="EB25" s="8"/>
      <c r="EC25" s="8"/>
      <c r="ED25" s="8"/>
      <c r="EE25" s="8"/>
      <c r="EF25" s="9"/>
      <c r="EH25" s="52">
        <f t="shared" si="50"/>
        <v>20</v>
      </c>
      <c r="EI25" s="47">
        <v>4.5456903434387641</v>
      </c>
      <c r="EJ25" s="47">
        <v>4.7710528987227008</v>
      </c>
      <c r="EK25" s="47">
        <f t="shared" si="36"/>
        <v>0.38</v>
      </c>
      <c r="EL25" s="47">
        <f t="shared" si="37"/>
        <v>0.4</v>
      </c>
      <c r="EM25" s="45">
        <f t="shared" si="38"/>
        <v>0.39407312844634973</v>
      </c>
      <c r="EN25" s="45">
        <f t="shared" si="39"/>
        <v>1.4073128446349725E-2</v>
      </c>
      <c r="EO25" s="45">
        <f t="shared" si="40"/>
        <v>5.9268715536502925E-3</v>
      </c>
      <c r="EP25" s="8"/>
      <c r="EQ25" s="8"/>
      <c r="ER25" s="8"/>
      <c r="ES25" s="8"/>
      <c r="ET25" s="9"/>
      <c r="EV25" s="21">
        <f t="shared" si="41"/>
        <v>21</v>
      </c>
      <c r="EW25" s="25">
        <v>5.9768211839400465</v>
      </c>
      <c r="EX25" s="25">
        <v>4.7863665157638025</v>
      </c>
      <c r="EY25" s="8">
        <f t="shared" si="8"/>
        <v>22.909304423224921</v>
      </c>
      <c r="EZ25" s="7"/>
      <c r="FA25" s="8"/>
      <c r="FB25" s="8"/>
      <c r="FC25" s="8"/>
      <c r="FD25" s="8"/>
      <c r="FE25" s="8"/>
      <c r="FF25" s="8"/>
      <c r="FG25" s="8"/>
      <c r="FH25" s="8"/>
      <c r="FI25" s="9"/>
      <c r="FK25" s="21"/>
      <c r="FL25" s="8"/>
      <c r="FM25" s="61">
        <v>4</v>
      </c>
      <c r="FN25" s="28">
        <v>0.12239999999999999</v>
      </c>
      <c r="FO25" s="61">
        <f>+$FK$22-FM25+1</f>
        <v>7</v>
      </c>
      <c r="FP25" s="64">
        <f>+FN13-FN10</f>
        <v>0.70830083132022992</v>
      </c>
      <c r="FQ25" s="28">
        <f>+FN25*FP25</f>
        <v>8.6696021753596142E-2</v>
      </c>
      <c r="FR25" s="8"/>
      <c r="FS25" s="8"/>
      <c r="FT25" s="8"/>
      <c r="FU25" s="8"/>
      <c r="FV25" s="9"/>
      <c r="FX25" s="21"/>
      <c r="FY25" s="8"/>
      <c r="FZ25" s="61">
        <v>4</v>
      </c>
      <c r="GA25" s="28">
        <v>0.12239999999999999</v>
      </c>
      <c r="GB25" s="61">
        <f>+$FK$22-FZ25+1</f>
        <v>7</v>
      </c>
      <c r="GC25" s="64">
        <f>+GA13-GA10</f>
        <v>0.84185671767045278</v>
      </c>
      <c r="GD25" s="28">
        <f>+GA25*GC25</f>
        <v>0.10304326224286342</v>
      </c>
      <c r="GE25" s="8"/>
      <c r="GF25" s="8"/>
      <c r="GG25" s="8"/>
      <c r="GH25" s="8"/>
      <c r="GI25" s="9"/>
      <c r="GK25" s="66">
        <v>13.726207195431925</v>
      </c>
      <c r="GL25" s="8"/>
      <c r="GM25" s="8">
        <f t="shared" si="78"/>
        <v>19</v>
      </c>
      <c r="GN25" s="63">
        <v>18.331469997647218</v>
      </c>
      <c r="GO25" s="8"/>
      <c r="GP25" s="8"/>
      <c r="GQ25" s="8"/>
      <c r="GR25" s="8"/>
      <c r="GS25" s="8"/>
      <c r="GT25" s="8"/>
      <c r="GU25" s="8"/>
      <c r="GV25" s="8"/>
      <c r="GW25" s="8"/>
      <c r="GX25" s="9"/>
      <c r="GZ25" s="21"/>
      <c r="HA25" s="8"/>
      <c r="HB25" s="8" t="s">
        <v>152</v>
      </c>
      <c r="HC25" s="8" t="s">
        <v>152</v>
      </c>
      <c r="HD25" s="8" t="s">
        <v>152</v>
      </c>
      <c r="HE25" s="8" t="s">
        <v>152</v>
      </c>
      <c r="HF25" s="8" t="s">
        <v>151</v>
      </c>
      <c r="HG25" s="8" t="s">
        <v>151</v>
      </c>
      <c r="HH25" s="8" t="s">
        <v>151</v>
      </c>
      <c r="HI25" s="8" t="s">
        <v>151</v>
      </c>
      <c r="HJ25" s="8" t="s">
        <v>151</v>
      </c>
      <c r="HK25" s="8" t="s">
        <v>151</v>
      </c>
      <c r="HL25" s="9" t="s">
        <v>151</v>
      </c>
      <c r="HN25" s="21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9"/>
      <c r="IA25" s="8"/>
      <c r="IB25" s="21"/>
      <c r="IC25" s="50" t="s">
        <v>320</v>
      </c>
      <c r="ID25" s="8"/>
      <c r="IE25" s="8"/>
      <c r="IF25" s="8"/>
      <c r="IG25" s="8"/>
      <c r="IH25" s="8"/>
      <c r="II25" s="8"/>
      <c r="IJ25" s="9"/>
      <c r="IL25" s="21"/>
      <c r="IM25" s="50" t="s">
        <v>320</v>
      </c>
      <c r="IN25" s="8"/>
      <c r="IO25" s="8"/>
      <c r="IP25" s="8"/>
      <c r="IQ25" s="8"/>
      <c r="IR25" s="8"/>
      <c r="IS25" s="8"/>
      <c r="IT25" s="9"/>
      <c r="IV25" s="21"/>
      <c r="IW25" s="8" t="s">
        <v>203</v>
      </c>
      <c r="IX25" s="8">
        <f>+IX21*IX22+(IX21*(IX21+1)/2)-IX23</f>
        <v>83</v>
      </c>
      <c r="IY25" s="8"/>
      <c r="IZ25" s="8"/>
      <c r="JA25" s="7"/>
      <c r="JB25" s="7"/>
      <c r="JC25" s="7"/>
      <c r="JD25" s="10"/>
      <c r="JF25" s="21"/>
      <c r="JG25" s="14" t="s">
        <v>215</v>
      </c>
      <c r="JH25" s="7">
        <f>+JL17</f>
        <v>51.5</v>
      </c>
      <c r="JI25" s="7"/>
      <c r="JJ25" s="7"/>
      <c r="JK25" s="7"/>
      <c r="JL25" s="7"/>
      <c r="JM25" s="10"/>
      <c r="JN25" s="7"/>
      <c r="JO25" s="6"/>
      <c r="JP25" s="7">
        <f t="shared" si="43"/>
        <v>21</v>
      </c>
      <c r="JQ25" s="7">
        <v>42</v>
      </c>
      <c r="JR25" s="7">
        <v>53</v>
      </c>
      <c r="JS25" s="7">
        <f t="shared" si="13"/>
        <v>-11</v>
      </c>
      <c r="JT25" s="7"/>
      <c r="JU25" s="50">
        <v>24</v>
      </c>
      <c r="JV25" s="9"/>
    </row>
    <row r="26" spans="2:282" x14ac:dyDescent="0.35">
      <c r="B26" s="6"/>
      <c r="C26" s="7"/>
      <c r="D26" s="7"/>
      <c r="E26" s="7"/>
      <c r="F26" s="7"/>
      <c r="G26" s="7"/>
      <c r="H26" s="8"/>
      <c r="I26" s="8"/>
      <c r="J26" s="8"/>
      <c r="K26" s="9"/>
      <c r="M26" s="6"/>
      <c r="N26" s="92"/>
      <c r="O26" s="92"/>
      <c r="P26" s="92"/>
      <c r="Q26" s="92"/>
      <c r="R26" s="92"/>
      <c r="S26" s="8"/>
      <c r="T26" s="8"/>
      <c r="U26" s="8"/>
      <c r="V26" s="9"/>
      <c r="X26" s="22"/>
      <c r="Y26" s="17"/>
      <c r="Z26" s="17"/>
      <c r="AA26" s="17"/>
      <c r="AB26" s="17"/>
      <c r="AC26" s="17"/>
      <c r="AD26" s="17"/>
      <c r="AE26" s="23" t="s">
        <v>249</v>
      </c>
      <c r="AF26" s="16"/>
      <c r="AG26" s="16"/>
      <c r="AH26" s="17"/>
      <c r="AI26" s="18"/>
      <c r="AK26" s="21"/>
      <c r="AL26" s="7">
        <v>7</v>
      </c>
      <c r="AM26" s="7">
        <v>2</v>
      </c>
      <c r="AN26" s="7">
        <f t="shared" si="71"/>
        <v>14</v>
      </c>
      <c r="AO26" s="7"/>
      <c r="AP26" s="7"/>
      <c r="AQ26" s="8"/>
      <c r="AR26" s="8"/>
      <c r="AS26" s="8"/>
      <c r="AT26" s="8"/>
      <c r="AU26" s="9"/>
      <c r="AW26" s="21">
        <f t="shared" si="15"/>
        <v>22</v>
      </c>
      <c r="AX26" s="25">
        <v>4.1189210984666715</v>
      </c>
      <c r="AY26" s="25">
        <v>6.2274856569783879</v>
      </c>
      <c r="AZ26" s="8">
        <f t="shared" si="3"/>
        <v>38.78157760787154</v>
      </c>
      <c r="BA26" s="7"/>
      <c r="BB26" s="8"/>
      <c r="BC26" s="8"/>
      <c r="BD26" s="8"/>
      <c r="BE26" s="8"/>
      <c r="BF26" s="8"/>
      <c r="BG26" s="8"/>
      <c r="BH26" s="8"/>
      <c r="BI26" s="8"/>
      <c r="BJ26" s="9"/>
      <c r="BK26" s="8"/>
      <c r="BL26" s="21">
        <f t="shared" si="16"/>
        <v>22</v>
      </c>
      <c r="BM26" s="25">
        <v>4.1189210984666715</v>
      </c>
      <c r="BN26" s="25">
        <v>6.2274856569783879</v>
      </c>
      <c r="BO26" s="8">
        <f t="shared" si="4"/>
        <v>38.78157760787154</v>
      </c>
      <c r="BP26" s="7"/>
      <c r="BQ26" s="8"/>
      <c r="BR26" s="8"/>
      <c r="BS26" s="8"/>
      <c r="BT26" s="8"/>
      <c r="BU26" s="8"/>
      <c r="BV26" s="8"/>
      <c r="BW26" s="8"/>
      <c r="BX26" s="8"/>
      <c r="BY26" s="9"/>
      <c r="BZ26" s="8"/>
      <c r="CA26" s="52">
        <f t="shared" si="46"/>
        <v>21</v>
      </c>
      <c r="CB26" s="53">
        <v>4.8252244520481327</v>
      </c>
      <c r="CC26" s="53">
        <v>6.1772144742062665</v>
      </c>
      <c r="CD26" s="54">
        <f t="shared" si="17"/>
        <v>0.66666666666666663</v>
      </c>
      <c r="CE26" s="54">
        <f t="shared" si="18"/>
        <v>0.7</v>
      </c>
      <c r="CF26" s="52">
        <f t="shared" si="7"/>
        <v>0.68473816523726982</v>
      </c>
      <c r="CG26" s="54">
        <f t="shared" si="19"/>
        <v>1.8071498570603195E-2</v>
      </c>
      <c r="CH26" s="54">
        <f t="shared" si="20"/>
        <v>1.5261834762730131E-2</v>
      </c>
      <c r="CI26" s="8"/>
      <c r="CJ26" s="8"/>
      <c r="CK26" s="8"/>
      <c r="CL26" s="8"/>
      <c r="CM26" s="9"/>
      <c r="CO26" s="21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9"/>
      <c r="DD26" s="21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9"/>
      <c r="DS26" s="21"/>
      <c r="EA26" s="8"/>
      <c r="EB26" s="8"/>
      <c r="EC26" s="8"/>
      <c r="ED26" s="8"/>
      <c r="EE26" s="8"/>
      <c r="EF26" s="9"/>
      <c r="EH26" s="52">
        <f t="shared" si="50"/>
        <v>21</v>
      </c>
      <c r="EI26" s="47">
        <v>5.9768211839400465</v>
      </c>
      <c r="EJ26" s="47">
        <v>4.7863665157638025</v>
      </c>
      <c r="EK26" s="47">
        <f t="shared" si="36"/>
        <v>0.4</v>
      </c>
      <c r="EL26" s="47">
        <f t="shared" si="37"/>
        <v>0.42</v>
      </c>
      <c r="EM26" s="45">
        <f t="shared" si="38"/>
        <v>0.39800363901641089</v>
      </c>
      <c r="EN26" s="45">
        <f t="shared" si="39"/>
        <v>1.9963609835891294E-3</v>
      </c>
      <c r="EO26" s="45">
        <f t="shared" si="40"/>
        <v>2.1996360983589092E-2</v>
      </c>
      <c r="EP26" s="8"/>
      <c r="EQ26" s="8"/>
      <c r="ER26" s="8"/>
      <c r="ES26" s="8"/>
      <c r="ET26" s="9"/>
      <c r="EV26" s="21">
        <f t="shared" si="41"/>
        <v>22</v>
      </c>
      <c r="EW26" s="25">
        <v>2.707363945664838</v>
      </c>
      <c r="EX26" s="25">
        <v>4.7890301983716199</v>
      </c>
      <c r="EY26" s="8">
        <f t="shared" si="8"/>
        <v>22.934810240915319</v>
      </c>
      <c r="EZ26" s="7"/>
      <c r="FA26" s="8"/>
      <c r="FB26" s="8"/>
      <c r="FC26" s="8"/>
      <c r="FD26" s="8"/>
      <c r="FE26" s="8"/>
      <c r="FF26" s="8"/>
      <c r="FG26" s="8"/>
      <c r="FH26" s="8"/>
      <c r="FI26" s="9"/>
      <c r="FK26" s="66"/>
      <c r="FL26" s="8"/>
      <c r="FM26" s="61">
        <v>5</v>
      </c>
      <c r="FN26" s="28">
        <v>3.9899999999999998E-2</v>
      </c>
      <c r="FO26" s="61">
        <f>+$FK$22-FM26+1</f>
        <v>6</v>
      </c>
      <c r="FP26" s="64">
        <f>+FN12-FN11</f>
        <v>0.50194103096146137</v>
      </c>
      <c r="FQ26" s="28">
        <f>+FN26*FP26</f>
        <v>2.0027447135362308E-2</v>
      </c>
      <c r="FR26" s="8"/>
      <c r="FS26" s="8"/>
      <c r="FT26" s="8"/>
      <c r="FU26" s="8"/>
      <c r="FV26" s="9"/>
      <c r="FX26" s="66"/>
      <c r="FY26" s="8"/>
      <c r="FZ26" s="61">
        <v>5</v>
      </c>
      <c r="GA26" s="28">
        <v>3.9899999999999998E-2</v>
      </c>
      <c r="GB26" s="61">
        <f>+$FK$22-FZ26+1</f>
        <v>6</v>
      </c>
      <c r="GC26" s="64">
        <f>+GA12-GA11</f>
        <v>0.2024444256676361</v>
      </c>
      <c r="GD26" s="28">
        <f>+GA26*GC26</f>
        <v>8.0775325841386802E-3</v>
      </c>
      <c r="GE26" s="8"/>
      <c r="GF26" s="8"/>
      <c r="GG26" s="8"/>
      <c r="GH26" s="8"/>
      <c r="GI26" s="9"/>
      <c r="GK26" s="66">
        <v>17.003762347158045</v>
      </c>
      <c r="GL26" s="8"/>
      <c r="GM26" s="8">
        <f t="shared" si="78"/>
        <v>20</v>
      </c>
      <c r="GN26" s="63">
        <v>18.694176484714262</v>
      </c>
      <c r="GO26" s="8"/>
      <c r="GP26" s="8"/>
      <c r="GQ26" s="8"/>
      <c r="GR26" s="8"/>
      <c r="GS26" s="8"/>
      <c r="GT26" s="8"/>
      <c r="GU26" s="8"/>
      <c r="GV26" s="8"/>
      <c r="GW26" s="8"/>
      <c r="GX26" s="9"/>
      <c r="GZ26" s="21"/>
      <c r="HA26" s="8" t="s">
        <v>306</v>
      </c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9"/>
      <c r="HN26" s="21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9"/>
      <c r="IA26" s="8"/>
      <c r="IB26" s="21"/>
      <c r="IC26" s="8" t="s">
        <v>321</v>
      </c>
      <c r="ID26" s="8"/>
      <c r="IE26" s="8"/>
      <c r="IF26" s="8"/>
      <c r="IG26" s="8"/>
      <c r="IH26" s="8"/>
      <c r="II26" s="8"/>
      <c r="IJ26" s="9"/>
      <c r="IL26" s="21"/>
      <c r="IM26" s="8" t="s">
        <v>331</v>
      </c>
      <c r="IN26" s="8"/>
      <c r="IO26" s="8"/>
      <c r="IP26" s="8"/>
      <c r="IQ26" s="8"/>
      <c r="IR26" s="8"/>
      <c r="IS26" s="8"/>
      <c r="IT26" s="9"/>
      <c r="IV26" s="21"/>
      <c r="IW26" s="8" t="s">
        <v>204</v>
      </c>
      <c r="IX26" s="8">
        <f>+IX21*IX22+(IX22*(IX22+1)/2)-IX24</f>
        <v>82</v>
      </c>
      <c r="IY26" s="8"/>
      <c r="IZ26" s="8"/>
      <c r="JA26" s="7"/>
      <c r="JB26" s="7"/>
      <c r="JC26" s="7"/>
      <c r="JD26" s="10"/>
      <c r="JF26" s="21"/>
      <c r="JG26" s="14" t="s">
        <v>7</v>
      </c>
      <c r="JH26" s="7">
        <v>10</v>
      </c>
      <c r="JI26" s="7"/>
      <c r="JJ26" s="7"/>
      <c r="JK26" s="7"/>
      <c r="JL26" s="7"/>
      <c r="JM26" s="10"/>
      <c r="JN26" s="7"/>
      <c r="JO26" s="6"/>
      <c r="JP26" s="7">
        <f t="shared" si="43"/>
        <v>22</v>
      </c>
      <c r="JQ26" s="7">
        <v>44</v>
      </c>
      <c r="JR26" s="7">
        <v>52</v>
      </c>
      <c r="JS26" s="7">
        <f t="shared" si="13"/>
        <v>-8</v>
      </c>
      <c r="JT26" s="7"/>
      <c r="JU26" s="8">
        <v>21.5</v>
      </c>
      <c r="JV26" s="9"/>
    </row>
    <row r="27" spans="2:282" ht="16.5" x14ac:dyDescent="0.35">
      <c r="B27" s="6"/>
      <c r="C27" s="7"/>
      <c r="D27" s="7" t="s">
        <v>6</v>
      </c>
      <c r="E27" s="7">
        <f>+E25/D25</f>
        <v>2.9285714285714284</v>
      </c>
      <c r="F27" s="7"/>
      <c r="G27" s="7" t="s">
        <v>23</v>
      </c>
      <c r="H27" s="8">
        <f>+(F25/D25)-E27^2</f>
        <v>4.9234693877551035</v>
      </c>
      <c r="I27" s="8"/>
      <c r="J27" s="8"/>
      <c r="K27" s="9"/>
      <c r="M27" s="6"/>
      <c r="N27" s="92"/>
      <c r="O27" s="92" t="s">
        <v>6</v>
      </c>
      <c r="P27" s="92">
        <f>+P25/O25</f>
        <v>3.74</v>
      </c>
      <c r="Q27" s="92"/>
      <c r="R27" s="92" t="s">
        <v>23</v>
      </c>
      <c r="S27" s="8">
        <f>+(Q25/O25)-P27^2</f>
        <v>8.5123999999999977</v>
      </c>
      <c r="T27" s="8"/>
      <c r="U27" s="8"/>
      <c r="V27" s="9"/>
      <c r="AK27" s="21"/>
      <c r="AL27" s="7">
        <v>8</v>
      </c>
      <c r="AM27" s="7">
        <v>1</v>
      </c>
      <c r="AN27" s="7">
        <f t="shared" si="71"/>
        <v>8</v>
      </c>
      <c r="AO27" s="7"/>
      <c r="AP27" s="7"/>
      <c r="AQ27" s="8"/>
      <c r="AR27" s="8"/>
      <c r="AS27" s="8"/>
      <c r="AT27" s="8"/>
      <c r="AU27" s="9"/>
      <c r="AW27" s="21">
        <f t="shared" si="15"/>
        <v>23</v>
      </c>
      <c r="AX27" s="25">
        <v>8.0755862806254299</v>
      </c>
      <c r="AY27" s="25">
        <v>6.2824202738338499</v>
      </c>
      <c r="AZ27" s="8">
        <f t="shared" si="3"/>
        <v>39.468804497078587</v>
      </c>
      <c r="BA27" s="7"/>
      <c r="BB27" s="8"/>
      <c r="BC27" s="8"/>
      <c r="BD27" s="8"/>
      <c r="BE27" s="8"/>
      <c r="BF27" s="8"/>
      <c r="BG27" s="8"/>
      <c r="BH27" s="8"/>
      <c r="BI27" s="8"/>
      <c r="BJ27" s="9"/>
      <c r="BK27" s="8"/>
      <c r="BL27" s="21">
        <f t="shared" si="16"/>
        <v>23</v>
      </c>
      <c r="BM27" s="25">
        <v>8.0755862806254299</v>
      </c>
      <c r="BN27" s="25">
        <v>6.2824202738338499</v>
      </c>
      <c r="BO27" s="8">
        <f t="shared" si="4"/>
        <v>39.468804497078587</v>
      </c>
      <c r="BP27" s="7"/>
      <c r="BQ27" s="8"/>
      <c r="BR27" s="8"/>
      <c r="BS27" s="8"/>
      <c r="BT27" s="8"/>
      <c r="BU27" s="8"/>
      <c r="BV27" s="8"/>
      <c r="BW27" s="8"/>
      <c r="BX27" s="8"/>
      <c r="BY27" s="9"/>
      <c r="BZ27" s="8"/>
      <c r="CA27" s="52">
        <f t="shared" si="46"/>
        <v>22</v>
      </c>
      <c r="CB27" s="53">
        <v>4.1189210984666715</v>
      </c>
      <c r="CC27" s="53">
        <v>6.2274856569783879</v>
      </c>
      <c r="CD27" s="54">
        <f t="shared" si="17"/>
        <v>0.7</v>
      </c>
      <c r="CE27" s="54">
        <f t="shared" si="18"/>
        <v>0.73333333333333328</v>
      </c>
      <c r="CF27" s="52">
        <f t="shared" si="7"/>
        <v>0.69587468629045568</v>
      </c>
      <c r="CG27" s="54">
        <f t="shared" si="19"/>
        <v>4.125313709544276E-3</v>
      </c>
      <c r="CH27" s="54">
        <f t="shared" si="20"/>
        <v>3.7458647042877602E-2</v>
      </c>
      <c r="CI27" s="8"/>
      <c r="CJ27" s="8"/>
      <c r="CK27" s="8"/>
      <c r="CL27" s="8"/>
      <c r="CM27" s="9"/>
      <c r="CO27" s="22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8"/>
      <c r="DD27" s="22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8"/>
      <c r="DS27" s="22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8"/>
      <c r="EH27" s="52">
        <f t="shared" si="50"/>
        <v>22</v>
      </c>
      <c r="EI27" s="47">
        <v>2.707363945664838</v>
      </c>
      <c r="EJ27" s="47">
        <v>4.7890301983716199</v>
      </c>
      <c r="EK27" s="47">
        <f t="shared" si="36"/>
        <v>0.42</v>
      </c>
      <c r="EL27" s="47">
        <f t="shared" si="37"/>
        <v>0.44</v>
      </c>
      <c r="EM27" s="45">
        <f t="shared" si="38"/>
        <v>0.3986883906479044</v>
      </c>
      <c r="EN27" s="45">
        <f t="shared" si="39"/>
        <v>2.1311609352095584E-2</v>
      </c>
      <c r="EO27" s="45">
        <f t="shared" si="40"/>
        <v>4.1311609352095602E-2</v>
      </c>
      <c r="EP27" s="8"/>
      <c r="EQ27" s="8"/>
      <c r="ER27" s="8"/>
      <c r="ES27" s="8"/>
      <c r="ET27" s="9"/>
      <c r="EV27" s="21">
        <f t="shared" si="41"/>
        <v>23</v>
      </c>
      <c r="EW27" s="25">
        <v>4.605885818709794</v>
      </c>
      <c r="EX27" s="25">
        <v>4.9150998064578744</v>
      </c>
      <c r="EY27" s="8">
        <f t="shared" si="8"/>
        <v>24.158206107442233</v>
      </c>
      <c r="EZ27" s="7"/>
      <c r="FA27" s="8"/>
      <c r="FB27" s="8"/>
      <c r="FC27" s="8"/>
      <c r="FD27" s="8"/>
      <c r="FE27" s="8"/>
      <c r="FF27" s="8"/>
      <c r="FG27" s="8"/>
      <c r="FH27" s="8"/>
      <c r="FI27" s="9"/>
      <c r="FK27" s="21"/>
      <c r="FL27" s="8"/>
      <c r="FM27" s="64" t="s">
        <v>16</v>
      </c>
      <c r="FN27" s="64"/>
      <c r="FO27" s="8"/>
      <c r="FP27" s="8"/>
      <c r="FQ27" s="28">
        <f>SUM(FQ22:FQ26)</f>
        <v>2.6494648258221787</v>
      </c>
      <c r="FR27" s="8"/>
      <c r="FS27" s="8"/>
      <c r="FT27" s="8"/>
      <c r="FU27" s="8"/>
      <c r="FV27" s="9"/>
      <c r="FX27" s="21"/>
      <c r="FY27" s="8"/>
      <c r="FZ27" s="64" t="s">
        <v>16</v>
      </c>
      <c r="GA27" s="64"/>
      <c r="GB27" s="8"/>
      <c r="GC27" s="8"/>
      <c r="GD27" s="28">
        <f>SUM(GD22:GD26)</f>
        <v>6.1733261716331294</v>
      </c>
      <c r="GE27" s="8"/>
      <c r="GF27" s="8"/>
      <c r="GG27" s="8"/>
      <c r="GH27" s="8"/>
      <c r="GI27" s="9"/>
      <c r="GK27" s="66">
        <v>21.562131602549925</v>
      </c>
      <c r="GL27" s="8"/>
      <c r="GM27" s="8">
        <f t="shared" si="78"/>
        <v>21</v>
      </c>
      <c r="GN27" s="63">
        <v>19.614994395524263</v>
      </c>
      <c r="GO27" s="8"/>
      <c r="GP27" s="8"/>
      <c r="GQ27" s="8"/>
      <c r="GR27" s="8"/>
      <c r="GS27" s="8"/>
      <c r="GT27" s="8"/>
      <c r="GU27" s="8"/>
      <c r="GV27" s="8"/>
      <c r="GW27" s="8"/>
      <c r="GX27" s="9"/>
      <c r="GZ27" s="21"/>
      <c r="HA27" s="8" t="s">
        <v>307</v>
      </c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9"/>
      <c r="HN27" s="21"/>
      <c r="HO27" s="8" t="s">
        <v>168</v>
      </c>
      <c r="HP27" s="8">
        <v>5</v>
      </c>
      <c r="HQ27" s="8">
        <v>16</v>
      </c>
      <c r="HR27" s="8">
        <v>1</v>
      </c>
      <c r="HS27" s="8">
        <v>24</v>
      </c>
      <c r="HT27" s="8">
        <v>3</v>
      </c>
      <c r="HU27" s="8">
        <v>47</v>
      </c>
      <c r="HV27" s="8">
        <v>6</v>
      </c>
      <c r="HW27" s="8">
        <v>9</v>
      </c>
      <c r="HX27" s="8">
        <v>61</v>
      </c>
      <c r="HY27" s="8">
        <v>4</v>
      </c>
      <c r="HZ27" s="9">
        <v>9</v>
      </c>
      <c r="IA27" s="8"/>
      <c r="IB27" s="21"/>
      <c r="IC27" s="8" t="s">
        <v>322</v>
      </c>
      <c r="ID27" s="8"/>
      <c r="IE27" s="8"/>
      <c r="IF27" s="8"/>
      <c r="IG27" s="8"/>
      <c r="IH27" s="8"/>
      <c r="II27" s="8"/>
      <c r="IJ27" s="9"/>
      <c r="IL27" s="21"/>
      <c r="IM27" s="8" t="s">
        <v>332</v>
      </c>
      <c r="IN27" s="8"/>
      <c r="IO27" s="8"/>
      <c r="IP27" s="8"/>
      <c r="IQ27" s="8"/>
      <c r="IR27" s="8"/>
      <c r="IS27" s="8"/>
      <c r="IT27" s="9"/>
      <c r="IV27" s="21"/>
      <c r="IW27" s="8" t="s">
        <v>163</v>
      </c>
      <c r="IX27" s="8">
        <f>+MIN(IX25:IX26)</f>
        <v>82</v>
      </c>
      <c r="IY27" s="8"/>
      <c r="IZ27" s="8"/>
      <c r="JA27" s="8"/>
      <c r="JB27" s="8"/>
      <c r="JC27" s="8"/>
      <c r="JD27" s="9"/>
      <c r="JF27" s="21"/>
      <c r="JG27" s="31" t="s">
        <v>9</v>
      </c>
      <c r="JH27" s="8">
        <v>0.05</v>
      </c>
      <c r="JI27" s="7"/>
      <c r="JJ27" s="7"/>
      <c r="JK27" s="7"/>
      <c r="JL27" s="7"/>
      <c r="JM27" s="10"/>
      <c r="JN27" s="7"/>
      <c r="JO27" s="6"/>
      <c r="JP27" s="7">
        <f t="shared" si="43"/>
        <v>23</v>
      </c>
      <c r="JQ27" s="7">
        <v>23</v>
      </c>
      <c r="JR27" s="7">
        <v>26</v>
      </c>
      <c r="JS27" s="7">
        <f t="shared" si="13"/>
        <v>-3</v>
      </c>
      <c r="JT27" s="7"/>
      <c r="JU27" s="8">
        <v>10</v>
      </c>
      <c r="JV27" s="9"/>
    </row>
    <row r="28" spans="2:282" x14ac:dyDescent="0.35">
      <c r="B28" s="15"/>
      <c r="C28" s="16"/>
      <c r="D28" s="16"/>
      <c r="E28" s="16"/>
      <c r="F28" s="16"/>
      <c r="G28" s="16"/>
      <c r="H28" s="17"/>
      <c r="I28" s="17"/>
      <c r="J28" s="17"/>
      <c r="K28" s="18"/>
      <c r="M28" s="15"/>
      <c r="N28" s="16"/>
      <c r="O28" s="16"/>
      <c r="P28" s="16"/>
      <c r="Q28" s="16"/>
      <c r="R28" s="16"/>
      <c r="S28" s="17"/>
      <c r="T28" s="17"/>
      <c r="U28" s="17"/>
      <c r="V28" s="18"/>
      <c r="AK28" s="21"/>
      <c r="AL28" s="7">
        <v>9</v>
      </c>
      <c r="AM28" s="7">
        <v>1</v>
      </c>
      <c r="AN28" s="7">
        <f t="shared" si="71"/>
        <v>9</v>
      </c>
      <c r="AO28" s="7"/>
      <c r="AP28" s="7"/>
      <c r="AQ28" s="8"/>
      <c r="AR28" s="8"/>
      <c r="AS28" s="8"/>
      <c r="AT28" s="8"/>
      <c r="AU28" s="9"/>
      <c r="AW28" s="21">
        <f t="shared" si="15"/>
        <v>24</v>
      </c>
      <c r="AX28" s="25">
        <v>4.9269167599559296</v>
      </c>
      <c r="AY28" s="25">
        <v>6.8121219252643641</v>
      </c>
      <c r="AZ28" s="8">
        <f t="shared" si="3"/>
        <v>46.405005124667468</v>
      </c>
      <c r="BA28" s="7"/>
      <c r="BB28" s="8"/>
      <c r="BC28" s="8"/>
      <c r="BD28" s="8"/>
      <c r="BE28" s="8"/>
      <c r="BF28" s="8"/>
      <c r="BG28" s="8"/>
      <c r="BH28" s="8"/>
      <c r="BI28" s="8"/>
      <c r="BJ28" s="9"/>
      <c r="BK28" s="8"/>
      <c r="BL28" s="21">
        <f t="shared" si="16"/>
        <v>24</v>
      </c>
      <c r="BM28" s="25">
        <v>4.9269167599559296</v>
      </c>
      <c r="BN28" s="25">
        <v>6.8121219252643641</v>
      </c>
      <c r="BO28" s="8">
        <f t="shared" si="4"/>
        <v>46.405005124667468</v>
      </c>
      <c r="BP28" s="7"/>
      <c r="BQ28" s="8"/>
      <c r="BR28" s="8"/>
      <c r="BS28" s="8"/>
      <c r="BT28" s="8"/>
      <c r="BU28" s="8"/>
      <c r="BV28" s="8"/>
      <c r="BW28" s="8"/>
      <c r="BX28" s="8"/>
      <c r="BY28" s="9"/>
      <c r="BZ28" s="8"/>
      <c r="CA28" s="52">
        <f t="shared" si="46"/>
        <v>23</v>
      </c>
      <c r="CB28" s="53">
        <v>8.0755862806254299</v>
      </c>
      <c r="CC28" s="53">
        <v>6.2824202738338499</v>
      </c>
      <c r="CD28" s="54">
        <f t="shared" si="17"/>
        <v>0.73333333333333328</v>
      </c>
      <c r="CE28" s="54">
        <f t="shared" si="18"/>
        <v>0.76666666666666672</v>
      </c>
      <c r="CF28" s="52">
        <f t="shared" si="7"/>
        <v>0.70783954537425819</v>
      </c>
      <c r="CG28" s="54">
        <f t="shared" si="19"/>
        <v>2.5493787959075087E-2</v>
      </c>
      <c r="CH28" s="54">
        <f t="shared" si="20"/>
        <v>5.8827121292408524E-2</v>
      </c>
      <c r="CI28" s="8"/>
      <c r="CJ28" s="8"/>
      <c r="CK28" s="8"/>
      <c r="CL28" s="8"/>
      <c r="CM28" s="9"/>
      <c r="EH28" s="52">
        <f t="shared" si="50"/>
        <v>23</v>
      </c>
      <c r="EI28" s="47">
        <v>4.605885818709794</v>
      </c>
      <c r="EJ28" s="47">
        <v>4.9150998064578744</v>
      </c>
      <c r="EK28" s="47">
        <f t="shared" si="36"/>
        <v>0.44</v>
      </c>
      <c r="EL28" s="47">
        <f t="shared" si="37"/>
        <v>0.46</v>
      </c>
      <c r="EM28" s="45">
        <f t="shared" si="38"/>
        <v>0.43141774516894593</v>
      </c>
      <c r="EN28" s="45">
        <f t="shared" si="39"/>
        <v>8.5822548310540703E-3</v>
      </c>
      <c r="EO28" s="45">
        <f t="shared" si="40"/>
        <v>2.8582254831054088E-2</v>
      </c>
      <c r="EP28" s="8"/>
      <c r="EQ28" s="8"/>
      <c r="ER28" s="8"/>
      <c r="ES28" s="8"/>
      <c r="ET28" s="9"/>
      <c r="EV28" s="21">
        <f t="shared" si="41"/>
        <v>24</v>
      </c>
      <c r="EW28" s="25">
        <v>4.9150998064578744</v>
      </c>
      <c r="EX28" s="25">
        <v>5.08674021501065</v>
      </c>
      <c r="EY28" s="8">
        <f t="shared" si="8"/>
        <v>25.874926015006594</v>
      </c>
      <c r="EZ28" s="7"/>
      <c r="FA28" s="8"/>
      <c r="FB28" s="8"/>
      <c r="FC28" s="8"/>
      <c r="FD28" s="8"/>
      <c r="FE28" s="8"/>
      <c r="FF28" s="8"/>
      <c r="FG28" s="8"/>
      <c r="FH28" s="8"/>
      <c r="FI28" s="9"/>
      <c r="FK28" s="22"/>
      <c r="FL28" s="17"/>
      <c r="FM28" s="68"/>
      <c r="FN28" s="68"/>
      <c r="FO28" s="17"/>
      <c r="FP28" s="17"/>
      <c r="FQ28" s="17"/>
      <c r="FR28" s="17"/>
      <c r="FS28" s="17"/>
      <c r="FT28" s="17"/>
      <c r="FU28" s="17"/>
      <c r="FV28" s="18"/>
      <c r="FX28" s="22"/>
      <c r="FY28" s="17"/>
      <c r="FZ28" s="68"/>
      <c r="GA28" s="68"/>
      <c r="GB28" s="17"/>
      <c r="GC28" s="17"/>
      <c r="GD28" s="17"/>
      <c r="GE28" s="17"/>
      <c r="GF28" s="17"/>
      <c r="GG28" s="17"/>
      <c r="GH28" s="17"/>
      <c r="GI28" s="18"/>
      <c r="GK28" s="66">
        <v>14.482502062164713</v>
      </c>
      <c r="GL28" s="8"/>
      <c r="GM28" s="8">
        <f t="shared" si="78"/>
        <v>22</v>
      </c>
      <c r="GN28" s="63">
        <v>20.071524356026202</v>
      </c>
      <c r="GO28" s="8"/>
      <c r="GP28" s="8"/>
      <c r="GQ28" s="8"/>
      <c r="GR28" s="8"/>
      <c r="GS28" s="8"/>
      <c r="GT28" s="8"/>
      <c r="GU28" s="8"/>
      <c r="GV28" s="8"/>
      <c r="GW28" s="8"/>
      <c r="GX28" s="9"/>
      <c r="GZ28" s="21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9"/>
      <c r="HN28" s="21"/>
      <c r="HO28" s="8"/>
      <c r="HP28" s="8">
        <v>8</v>
      </c>
      <c r="HQ28" s="8">
        <v>14</v>
      </c>
      <c r="HR28" s="8">
        <v>28</v>
      </c>
      <c r="HS28" s="8">
        <v>34</v>
      </c>
      <c r="HT28" s="8">
        <v>78</v>
      </c>
      <c r="HU28" s="8">
        <v>49</v>
      </c>
      <c r="HV28" s="8">
        <v>8</v>
      </c>
      <c r="HW28" s="8">
        <v>6</v>
      </c>
      <c r="HX28" s="8">
        <v>5</v>
      </c>
      <c r="HY28" s="50">
        <v>2</v>
      </c>
      <c r="HZ28" s="9">
        <v>1</v>
      </c>
      <c r="IA28" s="8"/>
      <c r="IB28" s="21"/>
      <c r="IC28" s="8"/>
      <c r="ID28" s="8"/>
      <c r="IE28" s="8"/>
      <c r="IF28" s="8"/>
      <c r="IG28" s="8"/>
      <c r="IH28" s="8"/>
      <c r="II28" s="8"/>
      <c r="IJ28" s="9"/>
      <c r="IL28" s="21"/>
      <c r="IM28" s="8"/>
      <c r="IN28" s="8"/>
      <c r="IO28" s="8"/>
      <c r="IP28" s="8"/>
      <c r="IQ28" s="8"/>
      <c r="IR28" s="8"/>
      <c r="IS28" s="8"/>
      <c r="IT28" s="9"/>
      <c r="IV28" s="21"/>
      <c r="IW28" s="31" t="s">
        <v>205</v>
      </c>
      <c r="IX28" s="8">
        <f>+IX21*IX22/2</f>
        <v>60</v>
      </c>
      <c r="IY28" s="8"/>
      <c r="IZ28" s="8"/>
      <c r="JA28" s="8"/>
      <c r="JB28" s="8"/>
      <c r="JC28" s="8"/>
      <c r="JD28" s="9"/>
      <c r="JF28" s="21"/>
      <c r="JG28" s="31" t="s">
        <v>208</v>
      </c>
      <c r="JH28" s="8">
        <f>+JH27/2</f>
        <v>2.5000000000000001E-2</v>
      </c>
      <c r="JI28" s="7"/>
      <c r="JJ28" s="7"/>
      <c r="JK28" s="7"/>
      <c r="JL28" s="7"/>
      <c r="JM28" s="10"/>
      <c r="JN28" s="7"/>
      <c r="JO28" s="6"/>
      <c r="JP28" s="7">
        <f t="shared" si="43"/>
        <v>24</v>
      </c>
      <c r="JQ28" s="7">
        <v>20</v>
      </c>
      <c r="JR28" s="7">
        <v>24</v>
      </c>
      <c r="JS28" s="7">
        <f t="shared" si="13"/>
        <v>-4</v>
      </c>
      <c r="JT28" s="7"/>
      <c r="JU28" s="8">
        <v>14</v>
      </c>
      <c r="JV28" s="9"/>
    </row>
    <row r="29" spans="2:282" x14ac:dyDescent="0.35">
      <c r="AK29" s="21"/>
      <c r="AL29" s="7">
        <v>10</v>
      </c>
      <c r="AM29" s="7">
        <v>0</v>
      </c>
      <c r="AN29" s="7">
        <f t="shared" si="71"/>
        <v>0</v>
      </c>
      <c r="AO29" s="7"/>
      <c r="AP29" s="7"/>
      <c r="AQ29" s="8"/>
      <c r="AR29" s="8"/>
      <c r="AS29" s="8"/>
      <c r="AT29" s="8"/>
      <c r="AU29" s="9"/>
      <c r="AW29" s="21">
        <f t="shared" si="15"/>
        <v>25</v>
      </c>
      <c r="AX29" s="25">
        <v>4.7600040185498074</v>
      </c>
      <c r="AY29" s="25">
        <v>6.8167455689545022</v>
      </c>
      <c r="AZ29" s="8">
        <f t="shared" si="3"/>
        <v>46.468020151860841</v>
      </c>
      <c r="BA29" s="7"/>
      <c r="BB29" s="8"/>
      <c r="BC29" s="8"/>
      <c r="BD29" s="8"/>
      <c r="BE29" s="8"/>
      <c r="BF29" s="8"/>
      <c r="BG29" s="8"/>
      <c r="BH29" s="8"/>
      <c r="BI29" s="8"/>
      <c r="BJ29" s="9"/>
      <c r="BK29" s="8"/>
      <c r="BL29" s="21">
        <f t="shared" si="16"/>
        <v>25</v>
      </c>
      <c r="BM29" s="25">
        <v>4.7600040185498074</v>
      </c>
      <c r="BN29" s="25">
        <v>6.8167455689545022</v>
      </c>
      <c r="BO29" s="8">
        <f t="shared" si="4"/>
        <v>46.468020151860841</v>
      </c>
      <c r="BP29" s="7"/>
      <c r="BQ29" s="8"/>
      <c r="BR29" s="8"/>
      <c r="BS29" s="8"/>
      <c r="BT29" s="8"/>
      <c r="BU29" s="8"/>
      <c r="BV29" s="8"/>
      <c r="BW29" s="8"/>
      <c r="BX29" s="8"/>
      <c r="BY29" s="9"/>
      <c r="BZ29" s="8"/>
      <c r="CA29" s="52">
        <f t="shared" si="46"/>
        <v>24</v>
      </c>
      <c r="CB29" s="53">
        <v>4.9269167599559296</v>
      </c>
      <c r="CC29" s="53">
        <v>6.8121219252643641</v>
      </c>
      <c r="CD29" s="54">
        <f t="shared" si="17"/>
        <v>0.76666666666666672</v>
      </c>
      <c r="CE29" s="54">
        <f t="shared" si="18"/>
        <v>0.8</v>
      </c>
      <c r="CF29" s="52">
        <f t="shared" si="7"/>
        <v>0.81053316656186647</v>
      </c>
      <c r="CG29" s="54">
        <f t="shared" si="19"/>
        <v>4.3866499895199751E-2</v>
      </c>
      <c r="CH29" s="54">
        <f t="shared" si="20"/>
        <v>1.0533166561866425E-2</v>
      </c>
      <c r="CI29" s="8"/>
      <c r="CJ29" s="8"/>
      <c r="CK29" s="8"/>
      <c r="CL29" s="8"/>
      <c r="CM29" s="9"/>
      <c r="CO29" s="27"/>
      <c r="CQ29" s="27"/>
      <c r="CR29" s="27"/>
      <c r="CS29" s="27"/>
      <c r="CT29" s="27"/>
      <c r="CU29" s="27"/>
      <c r="CV29" s="27"/>
      <c r="CW29" s="27"/>
      <c r="EH29" s="52">
        <f t="shared" si="50"/>
        <v>24</v>
      </c>
      <c r="EI29" s="47">
        <v>4.9150998064578744</v>
      </c>
      <c r="EJ29" s="47">
        <v>5.08674021501065</v>
      </c>
      <c r="EK29" s="47">
        <f t="shared" si="36"/>
        <v>0.46</v>
      </c>
      <c r="EL29" s="47">
        <f t="shared" si="37"/>
        <v>0.48</v>
      </c>
      <c r="EM29" s="45">
        <f t="shared" si="38"/>
        <v>0.47670207229379452</v>
      </c>
      <c r="EN29" s="45">
        <f t="shared" si="39"/>
        <v>1.6702072293794501E-2</v>
      </c>
      <c r="EO29" s="45">
        <f t="shared" si="40"/>
        <v>3.2979277062054613E-3</v>
      </c>
      <c r="EP29" s="8"/>
      <c r="EQ29" s="8"/>
      <c r="ER29" s="8"/>
      <c r="ES29" s="8"/>
      <c r="ET29" s="9"/>
      <c r="EV29" s="21">
        <f t="shared" si="41"/>
        <v>25</v>
      </c>
      <c r="EW29" s="25">
        <v>5.3559921424312051</v>
      </c>
      <c r="EX29" s="25">
        <v>5.0892691787157673</v>
      </c>
      <c r="EY29" s="8">
        <f t="shared" si="8"/>
        <v>25.90066077342626</v>
      </c>
      <c r="EZ29" s="7"/>
      <c r="FA29" s="8"/>
      <c r="FB29" s="8"/>
      <c r="FC29" s="8"/>
      <c r="FD29" s="8"/>
      <c r="FE29" s="8"/>
      <c r="FF29" s="8"/>
      <c r="FG29" s="8"/>
      <c r="FH29" s="8"/>
      <c r="FI29" s="9"/>
      <c r="FM29" s="63"/>
      <c r="FN29" s="63"/>
      <c r="GK29" s="66">
        <v>21.459704309236258</v>
      </c>
      <c r="GL29" s="8"/>
      <c r="GM29" s="8">
        <f t="shared" si="78"/>
        <v>23</v>
      </c>
      <c r="GN29" s="63">
        <v>21.459704309236258</v>
      </c>
      <c r="GO29" s="8"/>
      <c r="GP29" s="8"/>
      <c r="GQ29" s="8"/>
      <c r="GR29" s="8"/>
      <c r="GS29" s="8"/>
      <c r="GT29" s="8"/>
      <c r="GU29" s="8"/>
      <c r="GV29" s="8"/>
      <c r="GW29" s="8"/>
      <c r="GX29" s="9"/>
      <c r="GZ29" s="21"/>
      <c r="HA29" s="8" t="s">
        <v>156</v>
      </c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9"/>
      <c r="HN29" s="21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9"/>
      <c r="IA29" s="8"/>
      <c r="IB29" s="21"/>
      <c r="IC29" s="8"/>
      <c r="ID29" s="8"/>
      <c r="IF29" s="8"/>
      <c r="IG29" s="8"/>
      <c r="IH29" s="8"/>
      <c r="II29" s="8"/>
      <c r="IJ29" s="9"/>
      <c r="IL29" s="21"/>
      <c r="IM29" s="8"/>
      <c r="IN29" s="8"/>
      <c r="IO29" s="8"/>
      <c r="IP29" s="8"/>
      <c r="IQ29" s="8"/>
      <c r="IR29" s="8"/>
      <c r="IS29" s="8"/>
      <c r="IT29" s="9"/>
      <c r="IV29" s="21"/>
      <c r="IW29" s="31" t="s">
        <v>206</v>
      </c>
      <c r="IX29" s="8">
        <f>+IX21*IX22*(IX21+IX22+1)/12</f>
        <v>230</v>
      </c>
      <c r="IY29" s="8"/>
      <c r="IZ29" s="8"/>
      <c r="JA29" s="8"/>
      <c r="JB29" s="8"/>
      <c r="JC29" s="8"/>
      <c r="JD29" s="9"/>
      <c r="JF29" s="21"/>
      <c r="JG29" s="31" t="s">
        <v>216</v>
      </c>
      <c r="JH29" s="8">
        <v>9</v>
      </c>
      <c r="JI29" s="8"/>
      <c r="JJ29" s="8"/>
      <c r="JK29" s="8"/>
      <c r="JL29" s="8"/>
      <c r="JM29" s="9"/>
      <c r="JO29" s="21"/>
      <c r="JP29" s="7">
        <f t="shared" si="43"/>
        <v>25</v>
      </c>
      <c r="JQ29" s="19">
        <v>25</v>
      </c>
      <c r="JR29" s="19">
        <v>26</v>
      </c>
      <c r="JS29" s="7">
        <f t="shared" si="13"/>
        <v>-1</v>
      </c>
      <c r="JT29" s="8"/>
      <c r="JU29" s="8">
        <v>2.5</v>
      </c>
      <c r="JV29" s="9"/>
    </row>
    <row r="30" spans="2:282" x14ac:dyDescent="0.35">
      <c r="AK30" s="21"/>
      <c r="AL30" s="7"/>
      <c r="AM30" s="7">
        <f>SUM(AM19:AM29)</f>
        <v>38</v>
      </c>
      <c r="AN30" s="7">
        <f>SUM(AN19:AN29)</f>
        <v>141</v>
      </c>
      <c r="AO30" s="7"/>
      <c r="AP30" s="7"/>
      <c r="AQ30" s="8"/>
      <c r="AR30" s="8"/>
      <c r="AS30" s="8"/>
      <c r="AT30" s="8"/>
      <c r="AU30" s="9"/>
      <c r="AW30" s="21">
        <f t="shared" si="15"/>
        <v>26</v>
      </c>
      <c r="AX30" s="25">
        <v>6.1772144742062665</v>
      </c>
      <c r="AY30" s="25">
        <v>6.8446167498732393</v>
      </c>
      <c r="AZ30" s="8">
        <f t="shared" si="3"/>
        <v>46.848778452645305</v>
      </c>
      <c r="BA30" s="7"/>
      <c r="BB30" s="8"/>
      <c r="BC30" s="8"/>
      <c r="BD30" s="8"/>
      <c r="BE30" s="8"/>
      <c r="BF30" s="8"/>
      <c r="BG30" s="8"/>
      <c r="BH30" s="8"/>
      <c r="BI30" s="8"/>
      <c r="BJ30" s="9"/>
      <c r="BK30" s="8"/>
      <c r="BL30" s="21">
        <f t="shared" si="16"/>
        <v>26</v>
      </c>
      <c r="BM30" s="25">
        <v>6.1772144742062665</v>
      </c>
      <c r="BN30" s="25">
        <v>6.8446167498732393</v>
      </c>
      <c r="BO30" s="8">
        <f t="shared" si="4"/>
        <v>46.848778452645305</v>
      </c>
      <c r="BP30" s="7"/>
      <c r="BQ30" s="8"/>
      <c r="BR30" s="8"/>
      <c r="BS30" s="8"/>
      <c r="BT30" s="8"/>
      <c r="BU30" s="8"/>
      <c r="BV30" s="8"/>
      <c r="BW30" s="8"/>
      <c r="BX30" s="8"/>
      <c r="BY30" s="9"/>
      <c r="BZ30" s="8"/>
      <c r="CA30" s="52">
        <f t="shared" si="46"/>
        <v>25</v>
      </c>
      <c r="CB30" s="53">
        <v>4.7600040185498074</v>
      </c>
      <c r="CC30" s="53">
        <v>6.8167455689545022</v>
      </c>
      <c r="CD30" s="54">
        <f t="shared" si="17"/>
        <v>0.8</v>
      </c>
      <c r="CE30" s="54">
        <f t="shared" si="18"/>
        <v>0.83333333333333337</v>
      </c>
      <c r="CF30" s="52">
        <f t="shared" si="7"/>
        <v>0.81131904725366943</v>
      </c>
      <c r="CG30" s="54">
        <f t="shared" si="19"/>
        <v>1.131904725366939E-2</v>
      </c>
      <c r="CH30" s="54">
        <f t="shared" si="20"/>
        <v>2.2014286079663936E-2</v>
      </c>
      <c r="CI30" s="8"/>
      <c r="CJ30" s="8"/>
      <c r="CK30" s="8"/>
      <c r="CL30" s="8"/>
      <c r="CM30" s="9"/>
      <c r="CO30" s="27"/>
      <c r="CQ30" s="27"/>
      <c r="CR30" s="27"/>
      <c r="CS30" s="27"/>
      <c r="CT30" s="27"/>
      <c r="CU30" s="27"/>
      <c r="CV30" s="27"/>
      <c r="CW30" s="27"/>
      <c r="EH30" s="52">
        <f t="shared" si="50"/>
        <v>25</v>
      </c>
      <c r="EI30" s="47">
        <v>5.3559921424312051</v>
      </c>
      <c r="EJ30" s="47">
        <v>5.0892691787157673</v>
      </c>
      <c r="EK30" s="47">
        <f t="shared" si="36"/>
        <v>0.48</v>
      </c>
      <c r="EL30" s="47">
        <f t="shared" si="37"/>
        <v>0.5</v>
      </c>
      <c r="EM30" s="45">
        <f t="shared" si="38"/>
        <v>0.4773730156226727</v>
      </c>
      <c r="EN30" s="45">
        <f t="shared" si="39"/>
        <v>2.6269843773272794E-3</v>
      </c>
      <c r="EO30" s="45">
        <f t="shared" si="40"/>
        <v>2.2626984377327297E-2</v>
      </c>
      <c r="EP30" s="8"/>
      <c r="EQ30" s="8"/>
      <c r="ER30" s="8"/>
      <c r="ES30" s="8"/>
      <c r="ET30" s="9"/>
      <c r="EV30" s="21">
        <f t="shared" si="41"/>
        <v>26</v>
      </c>
      <c r="EW30" s="25">
        <v>6.6404464986408129</v>
      </c>
      <c r="EX30" s="25">
        <v>5.1024920948111685</v>
      </c>
      <c r="EY30" s="8">
        <f t="shared" si="8"/>
        <v>26.035425577610468</v>
      </c>
      <c r="EZ30" s="7"/>
      <c r="FA30" s="8"/>
      <c r="FB30" s="8"/>
      <c r="FC30" s="8"/>
      <c r="FD30" s="8"/>
      <c r="FE30" s="8"/>
      <c r="FF30" s="8"/>
      <c r="FG30" s="8"/>
      <c r="FH30" s="8"/>
      <c r="FI30" s="9"/>
      <c r="FM30" s="63"/>
      <c r="FN30" s="63"/>
      <c r="GK30" s="66">
        <v>15.303380147670396</v>
      </c>
      <c r="GL30" s="8"/>
      <c r="GM30" s="8">
        <f t="shared" si="78"/>
        <v>24</v>
      </c>
      <c r="GN30" s="63">
        <v>21.562131602549925</v>
      </c>
      <c r="GO30" s="8"/>
      <c r="GP30" s="8"/>
      <c r="GQ30" s="8"/>
      <c r="GR30" s="8"/>
      <c r="GS30" s="8"/>
      <c r="GT30" s="8"/>
      <c r="GU30" s="8"/>
      <c r="GV30" s="8"/>
      <c r="GW30" s="8"/>
      <c r="GX30" s="9"/>
      <c r="GZ30" s="21"/>
      <c r="HA30" s="31" t="s">
        <v>157</v>
      </c>
      <c r="HB30" s="8">
        <v>0.05</v>
      </c>
      <c r="HC30" s="8"/>
      <c r="HD30" s="8"/>
      <c r="HE30" s="8"/>
      <c r="HF30" s="8"/>
      <c r="HG30" s="8"/>
      <c r="HH30" s="8"/>
      <c r="HI30" s="8"/>
      <c r="HJ30" s="8"/>
      <c r="HK30" s="8"/>
      <c r="HL30" s="9"/>
      <c r="HN30" s="21"/>
      <c r="HO30" s="8" t="s">
        <v>170</v>
      </c>
      <c r="HP30" s="8">
        <f>+MEDIAN(HP27:HZ28)</f>
        <v>8.5</v>
      </c>
      <c r="HQ30" s="8"/>
      <c r="HR30" s="8"/>
      <c r="HS30" s="8"/>
      <c r="HT30" s="8"/>
      <c r="HU30" s="8"/>
      <c r="HV30" s="8"/>
      <c r="HW30" s="8"/>
      <c r="HX30" s="8"/>
      <c r="HY30" s="8"/>
      <c r="HZ30" s="9"/>
      <c r="IA30" s="8"/>
      <c r="IB30" s="21"/>
      <c r="IC30" s="8"/>
      <c r="ID30" s="8"/>
      <c r="IE30" s="8"/>
      <c r="IF30" s="8"/>
      <c r="IG30" s="8"/>
      <c r="IH30" s="8"/>
      <c r="II30" s="8"/>
      <c r="IJ30" s="9"/>
      <c r="IL30" s="21"/>
      <c r="IM30" s="8"/>
      <c r="IN30" s="8"/>
      <c r="IO30" s="8"/>
      <c r="IP30" s="8"/>
      <c r="IQ30" s="8"/>
      <c r="IR30" s="8"/>
      <c r="IS30" s="8"/>
      <c r="IT30" s="9"/>
      <c r="IV30" s="21"/>
      <c r="IW30" s="31" t="s">
        <v>207</v>
      </c>
      <c r="IX30" s="28">
        <f>+SQRT(IX29)</f>
        <v>15.165750888103101</v>
      </c>
      <c r="IY30" s="8"/>
      <c r="IZ30" s="8"/>
      <c r="JA30" s="8"/>
      <c r="JB30" s="8"/>
      <c r="JC30" s="8"/>
      <c r="JD30" s="9"/>
      <c r="JF30" s="21"/>
      <c r="JG30" s="8"/>
      <c r="JH30" s="8"/>
      <c r="JI30" s="8"/>
      <c r="JJ30" s="8"/>
      <c r="JK30" s="8"/>
      <c r="JL30" s="8"/>
      <c r="JM30" s="9"/>
      <c r="JO30" s="21"/>
      <c r="JP30" s="8" t="s">
        <v>275</v>
      </c>
      <c r="JQ30" s="8"/>
      <c r="JR30" s="8"/>
      <c r="JS30" s="8"/>
      <c r="JT30" s="8">
        <f>+SUM(JT5:JT29)</f>
        <v>46.5</v>
      </c>
      <c r="JU30" s="8">
        <f>+SUM(JU5:JU29)</f>
        <v>278.5</v>
      </c>
      <c r="JV30" s="9"/>
    </row>
    <row r="31" spans="2:282" x14ac:dyDescent="0.35">
      <c r="AK31" s="21"/>
      <c r="AL31" s="7"/>
      <c r="AM31" s="7"/>
      <c r="AN31" s="7"/>
      <c r="AO31" s="7"/>
      <c r="AP31" s="7"/>
      <c r="AQ31" s="8"/>
      <c r="AR31" s="8"/>
      <c r="AS31" s="8"/>
      <c r="AT31" s="8"/>
      <c r="AU31" s="9"/>
      <c r="AW31" s="21">
        <f t="shared" si="15"/>
        <v>27</v>
      </c>
      <c r="AX31" s="25">
        <v>6.8613505997345783</v>
      </c>
      <c r="AY31" s="25">
        <v>6.8613505997345783</v>
      </c>
      <c r="AZ31" s="8">
        <f t="shared" si="3"/>
        <v>47.078132052478054</v>
      </c>
      <c r="BA31" s="7"/>
      <c r="BB31" s="8"/>
      <c r="BC31" s="8"/>
      <c r="BD31" s="8"/>
      <c r="BE31" s="8"/>
      <c r="BF31" s="8"/>
      <c r="BG31" s="8"/>
      <c r="BH31" s="8"/>
      <c r="BI31" s="8"/>
      <c r="BJ31" s="9"/>
      <c r="BK31" s="8"/>
      <c r="BL31" s="21">
        <f t="shared" si="16"/>
        <v>27</v>
      </c>
      <c r="BM31" s="25">
        <v>6.8613505997345783</v>
      </c>
      <c r="BN31" s="25">
        <v>6.8613505997345783</v>
      </c>
      <c r="BO31" s="8">
        <f t="shared" si="4"/>
        <v>47.078132052478054</v>
      </c>
      <c r="BP31" s="7"/>
      <c r="BQ31" s="8"/>
      <c r="BR31" s="8"/>
      <c r="BS31" s="8"/>
      <c r="BT31" s="8"/>
      <c r="BU31" s="8"/>
      <c r="BV31" s="8"/>
      <c r="BW31" s="8"/>
      <c r="BX31" s="8"/>
      <c r="BY31" s="9"/>
      <c r="BZ31" s="8"/>
      <c r="CA31" s="52">
        <f t="shared" si="46"/>
        <v>26</v>
      </c>
      <c r="CB31" s="53">
        <v>6.1772144742062665</v>
      </c>
      <c r="CC31" s="53">
        <v>6.8446167498732393</v>
      </c>
      <c r="CD31" s="54">
        <f t="shared" si="17"/>
        <v>0.83333333333333337</v>
      </c>
      <c r="CE31" s="54">
        <f t="shared" si="18"/>
        <v>0.8666666666666667</v>
      </c>
      <c r="CF31" s="52">
        <f t="shared" si="7"/>
        <v>0.8160136308682433</v>
      </c>
      <c r="CG31" s="54">
        <f t="shared" si="19"/>
        <v>1.731970246509007E-2</v>
      </c>
      <c r="CH31" s="54">
        <f t="shared" si="20"/>
        <v>5.0653035798423396E-2</v>
      </c>
      <c r="CI31" s="8"/>
      <c r="CJ31" s="8"/>
      <c r="CK31" s="8"/>
      <c r="CL31" s="8"/>
      <c r="CM31" s="9"/>
      <c r="CO31" s="27"/>
      <c r="CQ31" s="27"/>
      <c r="CR31" s="27"/>
      <c r="CS31" s="27"/>
      <c r="CT31" s="27"/>
      <c r="CU31" s="27"/>
      <c r="CV31" s="27"/>
      <c r="DD31" s="27"/>
      <c r="DE31" s="27"/>
      <c r="DF31" s="27"/>
      <c r="DG31" s="27"/>
      <c r="DH31" s="27"/>
      <c r="DI31" s="27"/>
      <c r="DJ31" s="27"/>
      <c r="DS31" s="48"/>
      <c r="DT31" s="48"/>
      <c r="DU31" s="48"/>
      <c r="DV31" s="48"/>
      <c r="DW31" s="48"/>
      <c r="DX31" s="48"/>
      <c r="EH31" s="52">
        <f t="shared" si="50"/>
        <v>26</v>
      </c>
      <c r="EI31" s="47">
        <v>6.6404464986408129</v>
      </c>
      <c r="EJ31" s="47">
        <v>5.1024920948111685</v>
      </c>
      <c r="EK31" s="47">
        <f t="shared" si="36"/>
        <v>0.5</v>
      </c>
      <c r="EL31" s="47">
        <f t="shared" si="37"/>
        <v>0.52</v>
      </c>
      <c r="EM31" s="45">
        <f t="shared" si="38"/>
        <v>0.48088210456140806</v>
      </c>
      <c r="EN31" s="45">
        <f t="shared" si="39"/>
        <v>1.9117895438591936E-2</v>
      </c>
      <c r="EO31" s="45">
        <f t="shared" si="40"/>
        <v>3.9117895438591954E-2</v>
      </c>
      <c r="EP31" s="8"/>
      <c r="EQ31" s="8"/>
      <c r="ER31" s="8"/>
      <c r="ES31" s="8"/>
      <c r="ET31" s="9"/>
      <c r="EV31" s="21">
        <f t="shared" si="41"/>
        <v>27</v>
      </c>
      <c r="EW31" s="25">
        <v>5.4210221504763467</v>
      </c>
      <c r="EX31" s="25">
        <v>5.3559921424312051</v>
      </c>
      <c r="EY31" s="8">
        <f t="shared" si="8"/>
        <v>28.686651829784811</v>
      </c>
      <c r="EZ31" s="7"/>
      <c r="FA31" s="8"/>
      <c r="FB31" s="8"/>
      <c r="FC31" s="8"/>
      <c r="FD31" s="8"/>
      <c r="FE31" s="8"/>
      <c r="FF31" s="8"/>
      <c r="FG31" s="8"/>
      <c r="FH31" s="8"/>
      <c r="FI31" s="9"/>
      <c r="GK31" s="66"/>
      <c r="GL31" s="8"/>
      <c r="GM31" s="8"/>
      <c r="GN31" s="64"/>
      <c r="GO31" s="8"/>
      <c r="GP31" s="8"/>
      <c r="GQ31" s="8"/>
      <c r="GR31" s="8"/>
      <c r="GS31" s="8"/>
      <c r="GT31" s="8"/>
      <c r="GU31" s="8"/>
      <c r="GV31" s="8"/>
      <c r="GW31" s="8"/>
      <c r="GX31" s="9"/>
      <c r="GZ31" s="21"/>
      <c r="HA31" s="31" t="s">
        <v>158</v>
      </c>
      <c r="HB31" s="8">
        <f>+HB30/2</f>
        <v>2.5000000000000001E-2</v>
      </c>
      <c r="HC31" s="8"/>
      <c r="HD31" s="8"/>
      <c r="HE31" s="8"/>
      <c r="HF31" s="8"/>
      <c r="HG31" s="8"/>
      <c r="HH31" s="8"/>
      <c r="HI31" s="8"/>
      <c r="HJ31" s="8"/>
      <c r="HK31" s="8"/>
      <c r="HL31" s="9"/>
      <c r="HN31" s="21"/>
      <c r="HO31" s="8" t="s">
        <v>171</v>
      </c>
      <c r="HP31" s="8">
        <f>COUNTIFS(HP27:HZ28,"&lt;8,5")</f>
        <v>11</v>
      </c>
      <c r="HQ31" s="8">
        <f>COUNTIFS(HP35:HZ36,0)</f>
        <v>11</v>
      </c>
      <c r="HR31" s="8"/>
      <c r="HS31" s="8"/>
      <c r="HT31" s="8"/>
      <c r="HU31" s="8"/>
      <c r="HV31" s="8"/>
      <c r="HW31" s="8"/>
      <c r="HX31" s="8"/>
      <c r="HY31" s="8"/>
      <c r="HZ31" s="9"/>
      <c r="IA31" s="8"/>
      <c r="IB31" s="21"/>
      <c r="IC31" s="8"/>
      <c r="ID31" s="8"/>
      <c r="IE31" s="8"/>
      <c r="IF31" s="8"/>
      <c r="IG31" s="8"/>
      <c r="IH31" s="8"/>
      <c r="II31" s="8"/>
      <c r="IJ31" s="9"/>
      <c r="IL31" s="21"/>
      <c r="IM31" s="8"/>
      <c r="IN31" s="8"/>
      <c r="IO31" s="8"/>
      <c r="IP31" s="8"/>
      <c r="IQ31" s="8"/>
      <c r="IR31" s="8"/>
      <c r="IS31" s="8"/>
      <c r="IT31" s="9"/>
      <c r="IV31" s="21"/>
      <c r="IW31" s="8"/>
      <c r="IX31" s="8"/>
      <c r="IY31" s="8"/>
      <c r="IZ31" s="8"/>
      <c r="JA31" s="8"/>
      <c r="JB31" s="8"/>
      <c r="JC31" s="8"/>
      <c r="JD31" s="9"/>
      <c r="JF31" s="21"/>
      <c r="JG31" s="8" t="s">
        <v>231</v>
      </c>
      <c r="JH31" s="8">
        <v>0</v>
      </c>
      <c r="JI31" s="8">
        <v>9</v>
      </c>
      <c r="JJ31" s="8"/>
      <c r="JK31" s="8"/>
      <c r="JL31" s="8"/>
      <c r="JM31" s="9"/>
      <c r="JO31" s="21"/>
      <c r="JP31" s="8"/>
      <c r="JQ31" s="8"/>
      <c r="JR31" s="8"/>
      <c r="JS31" s="8"/>
      <c r="JT31" s="8"/>
      <c r="JU31" s="8"/>
      <c r="JV31" s="9"/>
    </row>
    <row r="32" spans="2:282" x14ac:dyDescent="0.35">
      <c r="AK32" s="21"/>
      <c r="AL32" s="7"/>
      <c r="AM32" s="7" t="s">
        <v>20</v>
      </c>
      <c r="AN32" s="7">
        <f>+(AN30/AM30)/AM4</f>
        <v>0.37105263157894741</v>
      </c>
      <c r="AO32" s="7"/>
      <c r="AP32" s="7"/>
      <c r="AQ32" s="8"/>
      <c r="AR32" s="8"/>
      <c r="AS32" s="8"/>
      <c r="AT32" s="8"/>
      <c r="AU32" s="9"/>
      <c r="AW32" s="21">
        <f t="shared" si="15"/>
        <v>28</v>
      </c>
      <c r="AX32" s="25">
        <v>6.2274856569783879</v>
      </c>
      <c r="AY32" s="25">
        <v>8.0755862806254299</v>
      </c>
      <c r="AZ32" s="8">
        <f t="shared" si="3"/>
        <v>65.215093775825665</v>
      </c>
      <c r="BA32" s="7"/>
      <c r="BB32" s="8"/>
      <c r="BC32" s="8"/>
      <c r="BD32" s="8"/>
      <c r="BE32" s="8"/>
      <c r="BF32" s="8"/>
      <c r="BG32" s="8"/>
      <c r="BH32" s="8"/>
      <c r="BI32" s="8"/>
      <c r="BJ32" s="9"/>
      <c r="BK32" s="8"/>
      <c r="BL32" s="21">
        <f t="shared" si="16"/>
        <v>28</v>
      </c>
      <c r="BM32" s="25">
        <v>6.2274856569783879</v>
      </c>
      <c r="BN32" s="25">
        <v>8.0755862806254299</v>
      </c>
      <c r="BO32" s="8">
        <f t="shared" si="4"/>
        <v>65.215093775825665</v>
      </c>
      <c r="BP32" s="7"/>
      <c r="BQ32" s="8"/>
      <c r="BR32" s="8"/>
      <c r="BS32" s="8"/>
      <c r="BT32" s="8"/>
      <c r="BU32" s="8"/>
      <c r="BV32" s="8"/>
      <c r="BW32" s="8"/>
      <c r="BX32" s="8"/>
      <c r="BY32" s="9"/>
      <c r="BZ32" s="8"/>
      <c r="CA32" s="52">
        <f t="shared" si="46"/>
        <v>27</v>
      </c>
      <c r="CB32" s="53">
        <v>6.8613505997345783</v>
      </c>
      <c r="CC32" s="53">
        <v>6.8613505997345783</v>
      </c>
      <c r="CD32" s="54">
        <f t="shared" si="17"/>
        <v>0.8666666666666667</v>
      </c>
      <c r="CE32" s="54">
        <f t="shared" si="18"/>
        <v>0.9</v>
      </c>
      <c r="CF32" s="52">
        <f t="shared" si="7"/>
        <v>0.81879699990365729</v>
      </c>
      <c r="CG32" s="54">
        <f t="shared" si="19"/>
        <v>4.7869666763009411E-2</v>
      </c>
      <c r="CH32" s="54">
        <f t="shared" si="20"/>
        <v>8.1203000096342737E-2</v>
      </c>
      <c r="CI32" s="8"/>
      <c r="CJ32" s="8"/>
      <c r="CK32" s="8"/>
      <c r="CL32" s="8"/>
      <c r="CM32" s="9"/>
      <c r="CO32" s="27"/>
      <c r="DD32" s="27"/>
      <c r="DE32" s="27"/>
      <c r="DF32" s="27"/>
      <c r="DG32" s="27"/>
      <c r="DH32" s="27"/>
      <c r="DI32" s="27"/>
      <c r="DJ32" s="27"/>
      <c r="DS32" s="48"/>
      <c r="DT32" s="48"/>
      <c r="DU32" s="48"/>
      <c r="DV32" s="48"/>
      <c r="DW32" s="48"/>
      <c r="DX32" s="48"/>
      <c r="EH32" s="52">
        <f t="shared" si="50"/>
        <v>27</v>
      </c>
      <c r="EI32" s="47">
        <v>5.4210221504763467</v>
      </c>
      <c r="EJ32" s="47">
        <v>5.3559921424312051</v>
      </c>
      <c r="EK32" s="47">
        <f t="shared" si="36"/>
        <v>0.52</v>
      </c>
      <c r="EL32" s="47">
        <f t="shared" si="37"/>
        <v>0.54</v>
      </c>
      <c r="EM32" s="45">
        <f t="shared" si="38"/>
        <v>0.54812359486965567</v>
      </c>
      <c r="EN32" s="45">
        <f t="shared" si="39"/>
        <v>2.8123594869655655E-2</v>
      </c>
      <c r="EO32" s="45">
        <f t="shared" si="40"/>
        <v>8.123594869655637E-3</v>
      </c>
      <c r="EP32" s="8"/>
      <c r="EQ32" s="8"/>
      <c r="ER32" s="8"/>
      <c r="ES32" s="8"/>
      <c r="ET32" s="9"/>
      <c r="EV32" s="21">
        <f t="shared" si="41"/>
        <v>28</v>
      </c>
      <c r="EW32" s="25">
        <v>7.9108696253388189</v>
      </c>
      <c r="EX32" s="25">
        <v>5.3867558007186744</v>
      </c>
      <c r="EY32" s="8">
        <f t="shared" si="8"/>
        <v>29.017138056576286</v>
      </c>
      <c r="EZ32" s="7"/>
      <c r="FA32" s="8"/>
      <c r="FB32" s="8"/>
      <c r="FC32" s="8"/>
      <c r="FD32" s="8"/>
      <c r="FE32" s="8"/>
      <c r="FF32" s="8"/>
      <c r="FG32" s="8"/>
      <c r="FH32" s="8"/>
      <c r="FI32" s="9"/>
      <c r="GK32" s="21" t="s">
        <v>301</v>
      </c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9"/>
      <c r="GZ32" s="21"/>
      <c r="HA32" s="31" t="s">
        <v>159</v>
      </c>
      <c r="HB32" s="8">
        <v>21</v>
      </c>
      <c r="HC32" s="8" t="s">
        <v>169</v>
      </c>
      <c r="HD32" s="8"/>
      <c r="HE32" s="8"/>
      <c r="HF32" s="8"/>
      <c r="HG32" s="8"/>
      <c r="HH32" s="8"/>
      <c r="HI32" s="8"/>
      <c r="HJ32" s="8"/>
      <c r="HK32" s="8"/>
      <c r="HL32" s="9"/>
      <c r="HN32" s="21"/>
      <c r="HO32" s="8" t="s">
        <v>173</v>
      </c>
      <c r="HP32" s="8">
        <f>+COUNTIF(HP27:HZ28,"&gt;8,5")</f>
        <v>11</v>
      </c>
      <c r="HQ32" s="8">
        <f>COUNTIFS(HP35:HZ36,1)</f>
        <v>11</v>
      </c>
      <c r="HR32" s="8"/>
      <c r="HS32" s="8"/>
      <c r="HT32" s="8"/>
      <c r="HU32" s="8"/>
      <c r="HV32" s="8"/>
      <c r="HW32" s="8"/>
      <c r="HX32" s="8"/>
      <c r="HY32" s="8"/>
      <c r="HZ32" s="9"/>
      <c r="IA32" s="8"/>
      <c r="IB32" s="21"/>
      <c r="IC32" s="8"/>
      <c r="ID32" s="8"/>
      <c r="IE32" s="8"/>
      <c r="IF32" s="8"/>
      <c r="IG32" s="8"/>
      <c r="IH32" s="8"/>
      <c r="II32" s="8"/>
      <c r="IJ32" s="9"/>
      <c r="IL32" s="21"/>
      <c r="IM32" s="8"/>
      <c r="IN32" s="8"/>
      <c r="IO32" s="8"/>
      <c r="IP32" s="8"/>
      <c r="IQ32" s="8"/>
      <c r="IR32" s="8"/>
      <c r="IS32" s="8"/>
      <c r="IT32" s="9"/>
      <c r="IV32" s="21"/>
      <c r="IW32" s="31" t="s">
        <v>9</v>
      </c>
      <c r="IX32" s="8">
        <v>0.01</v>
      </c>
      <c r="IY32" s="8"/>
      <c r="IZ32" s="8"/>
      <c r="JA32" s="8"/>
      <c r="JB32" s="8"/>
      <c r="JC32" s="8"/>
      <c r="JD32" s="9"/>
      <c r="JF32" s="21"/>
      <c r="JG32" s="8" t="s">
        <v>232</v>
      </c>
      <c r="JH32" s="8">
        <v>9</v>
      </c>
      <c r="JI32" s="84" t="s">
        <v>211</v>
      </c>
      <c r="JJ32" s="8"/>
      <c r="JK32" s="8"/>
      <c r="JL32" s="8"/>
      <c r="JM32" s="9"/>
      <c r="JO32" s="21"/>
      <c r="JP32" s="8"/>
      <c r="JQ32" s="8"/>
      <c r="JR32" s="8"/>
      <c r="JS32" s="8"/>
      <c r="JT32" s="8"/>
      <c r="JU32" s="8"/>
      <c r="JV32" s="9"/>
    </row>
    <row r="33" spans="37:282" x14ac:dyDescent="0.35">
      <c r="AK33" s="22"/>
      <c r="AL33" s="16"/>
      <c r="AM33" s="16"/>
      <c r="AN33" s="16"/>
      <c r="AO33" s="16"/>
      <c r="AP33" s="16"/>
      <c r="AQ33" s="17"/>
      <c r="AR33" s="17"/>
      <c r="AS33" s="17"/>
      <c r="AT33" s="17"/>
      <c r="AU33" s="18"/>
      <c r="AW33" s="21">
        <f t="shared" si="15"/>
        <v>29</v>
      </c>
      <c r="AX33" s="25">
        <v>4.1944552018831018</v>
      </c>
      <c r="AY33" s="25">
        <v>8.1468150634973426</v>
      </c>
      <c r="AZ33" s="8">
        <f t="shared" si="3"/>
        <v>66.370595678827215</v>
      </c>
      <c r="BA33" s="7"/>
      <c r="BB33" s="8"/>
      <c r="BC33" s="8"/>
      <c r="BD33" s="8"/>
      <c r="BE33" s="8"/>
      <c r="BF33" s="8"/>
      <c r="BG33" s="8"/>
      <c r="BH33" s="8"/>
      <c r="BI33" s="8"/>
      <c r="BJ33" s="9"/>
      <c r="BK33" s="8"/>
      <c r="BL33" s="21">
        <f t="shared" si="16"/>
        <v>29</v>
      </c>
      <c r="BM33" s="25">
        <v>4.1944552018831018</v>
      </c>
      <c r="BN33" s="25">
        <v>8.1468150634973426</v>
      </c>
      <c r="BO33" s="8">
        <f t="shared" si="4"/>
        <v>66.370595678827215</v>
      </c>
      <c r="BP33" s="7"/>
      <c r="BQ33" s="8"/>
      <c r="BR33" s="8"/>
      <c r="BS33" s="8"/>
      <c r="BT33" s="8"/>
      <c r="BU33" s="8"/>
      <c r="BV33" s="8"/>
      <c r="BW33" s="8"/>
      <c r="BX33" s="8"/>
      <c r="BY33" s="9"/>
      <c r="BZ33" s="8"/>
      <c r="CA33" s="52">
        <f t="shared" si="46"/>
        <v>28</v>
      </c>
      <c r="CB33" s="53">
        <v>6.2274856569783879</v>
      </c>
      <c r="CC33" s="53">
        <v>8.0755862806254299</v>
      </c>
      <c r="CD33" s="54">
        <f t="shared" si="17"/>
        <v>0.9</v>
      </c>
      <c r="CE33" s="54">
        <f t="shared" si="18"/>
        <v>0.93333333333333335</v>
      </c>
      <c r="CF33" s="52">
        <f t="shared" si="7"/>
        <v>0.95289722657448805</v>
      </c>
      <c r="CG33" s="54">
        <f t="shared" si="19"/>
        <v>5.2897226574488032E-2</v>
      </c>
      <c r="CH33" s="54">
        <f t="shared" si="20"/>
        <v>1.9563893241154706E-2</v>
      </c>
      <c r="CI33" s="8"/>
      <c r="CJ33" s="8"/>
      <c r="CK33" s="8"/>
      <c r="CL33" s="8"/>
      <c r="CM33" s="9"/>
      <c r="CO33" s="27"/>
      <c r="DD33" s="27"/>
      <c r="DE33" s="27"/>
      <c r="DF33" s="27"/>
      <c r="DG33" s="27"/>
      <c r="DH33" s="27"/>
      <c r="DI33" s="27"/>
      <c r="EH33" s="52">
        <f t="shared" si="50"/>
        <v>28</v>
      </c>
      <c r="EI33" s="47">
        <v>7.9108696253388189</v>
      </c>
      <c r="EJ33" s="47">
        <v>5.3867558007186744</v>
      </c>
      <c r="EK33" s="47">
        <f t="shared" si="36"/>
        <v>0.54</v>
      </c>
      <c r="EL33" s="47">
        <f t="shared" si="37"/>
        <v>0.56000000000000005</v>
      </c>
      <c r="EM33" s="45">
        <f t="shared" si="38"/>
        <v>0.55622868713866813</v>
      </c>
      <c r="EN33" s="45">
        <f t="shared" si="39"/>
        <v>1.6228687138668096E-2</v>
      </c>
      <c r="EO33" s="45">
        <f t="shared" si="40"/>
        <v>3.7713128613319213E-3</v>
      </c>
      <c r="EP33" s="8"/>
      <c r="EQ33" s="8"/>
      <c r="ER33" s="8"/>
      <c r="ES33" s="8"/>
      <c r="ET33" s="9"/>
      <c r="EV33" s="21">
        <f t="shared" si="41"/>
        <v>29</v>
      </c>
      <c r="EW33" s="25">
        <v>6.0239762104902184</v>
      </c>
      <c r="EX33" s="25">
        <v>5.3979170060119941</v>
      </c>
      <c r="EY33" s="8">
        <f t="shared" si="8"/>
        <v>29.137508003793489</v>
      </c>
      <c r="EZ33" s="7"/>
      <c r="FA33" s="8"/>
      <c r="FB33" s="8"/>
      <c r="FC33" s="8"/>
      <c r="FD33" s="8"/>
      <c r="FE33" s="8"/>
      <c r="FF33" s="8"/>
      <c r="FG33" s="8"/>
      <c r="FH33" s="8"/>
      <c r="FI33" s="9"/>
      <c r="GK33" s="21"/>
      <c r="GL33" s="8"/>
      <c r="GM33" s="64"/>
      <c r="GN33" s="64"/>
      <c r="GO33" s="8"/>
      <c r="GP33" s="8"/>
      <c r="GQ33" s="8"/>
      <c r="GR33" s="8"/>
      <c r="GS33" s="8"/>
      <c r="GT33" s="8"/>
      <c r="GU33" s="8"/>
      <c r="GV33" s="8"/>
      <c r="GW33" s="8"/>
      <c r="GX33" s="9"/>
      <c r="GZ33" s="21"/>
      <c r="HA33" s="31" t="s">
        <v>160</v>
      </c>
      <c r="HB33" s="8">
        <v>12</v>
      </c>
      <c r="HC33" s="8"/>
      <c r="HD33" s="8"/>
      <c r="HE33" s="8"/>
      <c r="HF33" s="8"/>
      <c r="HG33" s="8"/>
      <c r="HH33" s="8"/>
      <c r="HI33" s="8"/>
      <c r="HJ33" s="8"/>
      <c r="HK33" s="8"/>
      <c r="HL33" s="9"/>
      <c r="HN33" s="21"/>
      <c r="HO33" s="8" t="s">
        <v>7</v>
      </c>
      <c r="HP33" s="8">
        <f>+HP32+HP31</f>
        <v>22</v>
      </c>
      <c r="HQ33" s="8"/>
      <c r="HR33" s="8"/>
      <c r="HS33" s="8"/>
      <c r="HT33" s="8"/>
      <c r="HU33" s="8"/>
      <c r="HV33" s="8"/>
      <c r="HW33" s="8"/>
      <c r="HX33" s="8"/>
      <c r="HY33" s="8"/>
      <c r="HZ33" s="9"/>
      <c r="IA33" s="8"/>
      <c r="IB33" s="21"/>
      <c r="IC33" s="31" t="s">
        <v>157</v>
      </c>
      <c r="ID33" s="8">
        <v>0.01</v>
      </c>
      <c r="IE33" s="8"/>
      <c r="IF33" s="8"/>
      <c r="IG33" s="8"/>
      <c r="IH33" s="8"/>
      <c r="II33" s="8"/>
      <c r="IJ33" s="9"/>
      <c r="IL33" s="21"/>
      <c r="IM33" s="31" t="s">
        <v>157</v>
      </c>
      <c r="IN33" s="8">
        <v>0.01</v>
      </c>
      <c r="IO33" s="8"/>
      <c r="IP33" s="8"/>
      <c r="IQ33" s="8"/>
      <c r="IR33" s="8"/>
      <c r="IS33" s="8"/>
      <c r="IT33" s="9"/>
      <c r="IV33" s="21"/>
      <c r="IW33" s="31" t="s">
        <v>208</v>
      </c>
      <c r="IX33" s="8">
        <f>+IX32/2</f>
        <v>5.0000000000000001E-3</v>
      </c>
      <c r="IY33" s="8"/>
      <c r="IZ33" s="8"/>
      <c r="JA33" s="8"/>
      <c r="JB33" s="8"/>
      <c r="JC33" s="8"/>
      <c r="JD33" s="9"/>
      <c r="JF33" s="21"/>
      <c r="JG33" s="8"/>
      <c r="JH33" s="8"/>
      <c r="JI33" s="8"/>
      <c r="JJ33" s="8"/>
      <c r="JK33" s="8"/>
      <c r="JL33" s="8"/>
      <c r="JM33" s="9"/>
      <c r="JO33" s="21"/>
      <c r="JP33" s="7" t="s">
        <v>212</v>
      </c>
      <c r="JQ33" s="14" t="s">
        <v>338</v>
      </c>
      <c r="JR33" s="7"/>
      <c r="JS33" s="7"/>
      <c r="JT33" s="8"/>
      <c r="JU33" s="8"/>
      <c r="JV33" s="9"/>
    </row>
    <row r="34" spans="37:282" ht="16.5" x14ac:dyDescent="0.45">
      <c r="AP34" s="1"/>
      <c r="AW34" s="21">
        <f t="shared" si="15"/>
        <v>30</v>
      </c>
      <c r="AX34" s="25">
        <v>8.867343482648721</v>
      </c>
      <c r="AY34" s="25">
        <v>8.867343482648721</v>
      </c>
      <c r="AZ34" s="8">
        <f t="shared" si="3"/>
        <v>78.62978043927275</v>
      </c>
      <c r="BA34" s="7"/>
      <c r="BB34" s="8"/>
      <c r="BC34" s="8"/>
      <c r="BD34" s="8"/>
      <c r="BE34" s="8"/>
      <c r="BF34" s="8"/>
      <c r="BG34" s="8"/>
      <c r="BH34" s="8"/>
      <c r="BI34" s="8"/>
      <c r="BJ34" s="9"/>
      <c r="BK34" s="8"/>
      <c r="BL34" s="21">
        <f t="shared" si="16"/>
        <v>30</v>
      </c>
      <c r="BM34" s="25">
        <v>8.867343482648721</v>
      </c>
      <c r="BN34" s="25">
        <v>8.867343482648721</v>
      </c>
      <c r="BO34" s="8">
        <f t="shared" si="4"/>
        <v>78.62978043927275</v>
      </c>
      <c r="BP34" s="7"/>
      <c r="BQ34" s="8"/>
      <c r="BR34" s="8"/>
      <c r="BS34" s="8"/>
      <c r="BT34" s="8"/>
      <c r="BU34" s="8"/>
      <c r="BV34" s="8"/>
      <c r="BW34" s="8"/>
      <c r="BX34" s="8"/>
      <c r="BY34" s="9"/>
      <c r="BZ34" s="8"/>
      <c r="CA34" s="52">
        <f t="shared" si="46"/>
        <v>29</v>
      </c>
      <c r="CB34" s="53">
        <v>4.1944552018831018</v>
      </c>
      <c r="CC34" s="53">
        <v>8.1468150634973426</v>
      </c>
      <c r="CD34" s="54">
        <f t="shared" si="17"/>
        <v>0.93333333333333335</v>
      </c>
      <c r="CE34" s="54">
        <f t="shared" si="18"/>
        <v>0.96666666666666667</v>
      </c>
      <c r="CF34" s="52">
        <f t="shared" si="7"/>
        <v>0.95713518713091839</v>
      </c>
      <c r="CG34" s="54">
        <f t="shared" si="19"/>
        <v>2.3801853797585037E-2</v>
      </c>
      <c r="CH34" s="54">
        <f t="shared" si="20"/>
        <v>9.5314795357482884E-3</v>
      </c>
      <c r="CI34" s="8"/>
      <c r="CJ34" s="8"/>
      <c r="CK34" s="8"/>
      <c r="CL34" s="8"/>
      <c r="CM34" s="9"/>
      <c r="CO34" s="27"/>
      <c r="EH34" s="52">
        <f t="shared" si="50"/>
        <v>29</v>
      </c>
      <c r="EI34" s="47">
        <v>6.0239762104902184</v>
      </c>
      <c r="EJ34" s="47">
        <v>5.3979170060119941</v>
      </c>
      <c r="EK34" s="47">
        <f t="shared" si="36"/>
        <v>0.56000000000000005</v>
      </c>
      <c r="EL34" s="47">
        <f t="shared" si="37"/>
        <v>0.57999999999999996</v>
      </c>
      <c r="EM34" s="45">
        <f t="shared" si="38"/>
        <v>0.55916363094021682</v>
      </c>
      <c r="EN34" s="45">
        <f t="shared" si="39"/>
        <v>8.3636905978323739E-4</v>
      </c>
      <c r="EO34" s="45">
        <f t="shared" si="40"/>
        <v>2.0836369059783144E-2</v>
      </c>
      <c r="EP34" s="8"/>
      <c r="EQ34" s="8"/>
      <c r="ER34" s="8"/>
      <c r="ES34" s="8"/>
      <c r="ET34" s="9"/>
      <c r="EV34" s="21">
        <f t="shared" si="41"/>
        <v>30</v>
      </c>
      <c r="EW34" s="25">
        <v>3.9848419090776588</v>
      </c>
      <c r="EX34" s="25">
        <v>5.4210221504763467</v>
      </c>
      <c r="EY34" s="8">
        <f t="shared" si="8"/>
        <v>29.387481155955196</v>
      </c>
      <c r="EZ34" s="7"/>
      <c r="FA34" s="8"/>
      <c r="FB34" s="8"/>
      <c r="FC34" s="8"/>
      <c r="FD34" s="8"/>
      <c r="FE34" s="8"/>
      <c r="FF34" s="8"/>
      <c r="FG34" s="8"/>
      <c r="FH34" s="8"/>
      <c r="FI34" s="9"/>
      <c r="GK34" s="33" t="s">
        <v>7</v>
      </c>
      <c r="GL34" s="71" t="s">
        <v>110</v>
      </c>
      <c r="GM34" s="33" t="s">
        <v>112</v>
      </c>
      <c r="GN34" s="69" t="s">
        <v>111</v>
      </c>
      <c r="GO34" s="33" t="s">
        <v>113</v>
      </c>
      <c r="GP34" s="33" t="s">
        <v>117</v>
      </c>
      <c r="GQ34" s="33" t="s">
        <v>116</v>
      </c>
      <c r="GR34" s="33" t="s">
        <v>114</v>
      </c>
      <c r="GS34" s="33" t="s">
        <v>115</v>
      </c>
      <c r="GT34" s="8"/>
      <c r="GU34" s="37" t="s">
        <v>14</v>
      </c>
      <c r="GV34" s="72" t="s">
        <v>267</v>
      </c>
      <c r="GW34" s="3"/>
      <c r="GX34" s="5"/>
      <c r="GZ34" s="21"/>
      <c r="HA34" s="31" t="s">
        <v>172</v>
      </c>
      <c r="HB34" s="8">
        <f>+HB33+HB32</f>
        <v>33</v>
      </c>
      <c r="HC34" s="8"/>
      <c r="HD34" s="8"/>
      <c r="HE34" s="8"/>
      <c r="HF34" s="8"/>
      <c r="HG34" s="8"/>
      <c r="HH34" s="8"/>
      <c r="HI34" s="8"/>
      <c r="HJ34" s="8"/>
      <c r="HK34" s="8"/>
      <c r="HL34" s="9"/>
      <c r="HN34" s="21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9"/>
      <c r="IA34" s="8"/>
      <c r="IB34" s="21"/>
      <c r="IC34" s="8" t="s">
        <v>189</v>
      </c>
      <c r="ID34" s="8">
        <v>2</v>
      </c>
      <c r="IE34" s="8"/>
      <c r="IF34" s="8"/>
      <c r="IG34" s="8"/>
      <c r="IH34" s="8"/>
      <c r="II34" s="8"/>
      <c r="IJ34" s="9"/>
      <c r="IL34" s="21"/>
      <c r="IM34" s="8" t="s">
        <v>189</v>
      </c>
      <c r="IN34" s="8">
        <v>2</v>
      </c>
      <c r="IO34" s="8"/>
      <c r="IP34" s="8"/>
      <c r="IQ34" s="8"/>
      <c r="IR34" s="8"/>
      <c r="IS34" s="8"/>
      <c r="IT34" s="9"/>
      <c r="IV34" s="21"/>
      <c r="IW34" s="31" t="s">
        <v>209</v>
      </c>
      <c r="IX34" s="83">
        <f>NORMSINV(1-IX33)</f>
        <v>2.5758293035488999</v>
      </c>
      <c r="IY34" s="8"/>
      <c r="IZ34" s="8"/>
      <c r="JA34" s="8"/>
      <c r="JB34" s="8"/>
      <c r="JC34" s="8"/>
      <c r="JD34" s="9"/>
      <c r="JF34" s="21"/>
      <c r="JG34" s="8" t="s">
        <v>217</v>
      </c>
      <c r="JH34" s="8">
        <f>+MIN(JH24:JH25)</f>
        <v>3.5</v>
      </c>
      <c r="JI34" s="31" t="s">
        <v>351</v>
      </c>
      <c r="JJ34" s="8"/>
      <c r="JK34" s="8"/>
      <c r="JL34" s="8"/>
      <c r="JM34" s="9"/>
      <c r="JO34" s="21"/>
      <c r="JP34" s="7" t="s">
        <v>213</v>
      </c>
      <c r="JQ34" s="14" t="s">
        <v>339</v>
      </c>
      <c r="JR34" s="7"/>
      <c r="JS34" s="7"/>
      <c r="JT34" s="8"/>
      <c r="JU34" s="8"/>
      <c r="JV34" s="9"/>
    </row>
    <row r="35" spans="37:282" x14ac:dyDescent="0.35">
      <c r="AP35" s="1"/>
      <c r="AW35" s="21"/>
      <c r="AX35" s="8" t="s">
        <v>16</v>
      </c>
      <c r="AY35" s="25">
        <f>SUM(AY5:AY34)</f>
        <v>162.34790524520577</v>
      </c>
      <c r="AZ35" s="8">
        <f>SUM(AZ5:AZ34)</f>
        <v>952.03815791353759</v>
      </c>
      <c r="BA35" s="7"/>
      <c r="BB35" s="8"/>
      <c r="BC35" s="8"/>
      <c r="BD35" s="8"/>
      <c r="BE35" s="8"/>
      <c r="BF35" s="8"/>
      <c r="BG35" s="8"/>
      <c r="BH35" s="8"/>
      <c r="BI35" s="8"/>
      <c r="BJ35" s="9"/>
      <c r="BK35" s="8"/>
      <c r="BL35" s="21"/>
      <c r="BM35" s="8" t="s">
        <v>275</v>
      </c>
      <c r="BN35" s="25">
        <f>SUM(BN5:BN34)</f>
        <v>162.34790524520577</v>
      </c>
      <c r="BO35" s="8">
        <f>SUM(BO5:BO34)</f>
        <v>952.03815791353759</v>
      </c>
      <c r="BP35" s="7"/>
      <c r="BQ35" s="8"/>
      <c r="BR35" s="8"/>
      <c r="BS35" s="8"/>
      <c r="BT35" s="8"/>
      <c r="BU35" s="8"/>
      <c r="BV35" s="8"/>
      <c r="BW35" s="8"/>
      <c r="BX35" s="8"/>
      <c r="BY35" s="9"/>
      <c r="BZ35" s="8"/>
      <c r="CA35" s="52">
        <f t="shared" si="46"/>
        <v>30</v>
      </c>
      <c r="CB35" s="53">
        <v>8.867343482648721</v>
      </c>
      <c r="CC35" s="53">
        <v>8.867343482648721</v>
      </c>
      <c r="CD35" s="54">
        <f t="shared" si="17"/>
        <v>0.96666666666666667</v>
      </c>
      <c r="CE35" s="54">
        <f t="shared" si="18"/>
        <v>1</v>
      </c>
      <c r="CF35" s="52">
        <f t="shared" si="7"/>
        <v>0.98503556831950945</v>
      </c>
      <c r="CG35" s="54">
        <f t="shared" si="19"/>
        <v>1.8368901652842773E-2</v>
      </c>
      <c r="CH35" s="54">
        <f t="shared" si="20"/>
        <v>1.4964431680490553E-2</v>
      </c>
      <c r="CI35" s="17"/>
      <c r="CJ35" s="17"/>
      <c r="CK35" s="17"/>
      <c r="CL35" s="17"/>
      <c r="CM35" s="18"/>
      <c r="CO35" s="27"/>
      <c r="EH35" s="52">
        <f t="shared" si="50"/>
        <v>30</v>
      </c>
      <c r="EI35" s="47">
        <v>3.9848419090776588</v>
      </c>
      <c r="EJ35" s="47">
        <v>5.4210221504763467</v>
      </c>
      <c r="EK35" s="47">
        <f t="shared" si="36"/>
        <v>0.57999999999999996</v>
      </c>
      <c r="EL35" s="47">
        <f t="shared" si="37"/>
        <v>0.6</v>
      </c>
      <c r="EM35" s="45">
        <f t="shared" si="38"/>
        <v>0.56522885081811802</v>
      </c>
      <c r="EN35" s="45">
        <f t="shared" si="39"/>
        <v>1.4771149181881937E-2</v>
      </c>
      <c r="EO35" s="45">
        <f t="shared" si="40"/>
        <v>3.4771149181881955E-2</v>
      </c>
      <c r="EP35" s="8"/>
      <c r="EQ35" s="8"/>
      <c r="ER35" s="8"/>
      <c r="ES35" s="8"/>
      <c r="ET35" s="9"/>
      <c r="EV35" s="21">
        <f t="shared" si="41"/>
        <v>31</v>
      </c>
      <c r="EW35" s="25">
        <v>4.7863665157638025</v>
      </c>
      <c r="EX35" s="25">
        <v>5.6325615231617121</v>
      </c>
      <c r="EY35" s="8">
        <f t="shared" si="8"/>
        <v>31.725749312201785</v>
      </c>
      <c r="EZ35" s="7"/>
      <c r="FA35" s="8"/>
      <c r="FB35" s="8"/>
      <c r="FC35" s="8"/>
      <c r="FD35" s="8"/>
      <c r="FE35" s="8"/>
      <c r="FF35" s="8"/>
      <c r="FG35" s="8"/>
      <c r="FH35" s="8"/>
      <c r="FI35" s="9"/>
      <c r="GK35" s="33">
        <v>24</v>
      </c>
      <c r="GL35" s="33">
        <f>+GK35/2</f>
        <v>12</v>
      </c>
      <c r="GM35" s="70">
        <v>1</v>
      </c>
      <c r="GN35" s="45">
        <v>0.44929999999999998</v>
      </c>
      <c r="GO35" s="70">
        <f>+$GK$35-GM35+1</f>
        <v>24</v>
      </c>
      <c r="GP35" s="47">
        <f>+VLOOKUP(GO35,$GM$7:$GN$30,2,FALSE)</f>
        <v>21.562131602549925</v>
      </c>
      <c r="GQ35" s="47">
        <f>VLOOKUP(GM35,$GM$7:$GN$30,2,FALSE)</f>
        <v>6.5766238700598478</v>
      </c>
      <c r="GR35" s="47">
        <f>+GP35-GQ35</f>
        <v>14.985507732490078</v>
      </c>
      <c r="GS35" s="45">
        <f>+GN35*GR35</f>
        <v>6.7329886242077919</v>
      </c>
      <c r="GT35" s="8"/>
      <c r="GU35" s="6" t="s">
        <v>15</v>
      </c>
      <c r="GV35" s="14" t="s">
        <v>268</v>
      </c>
      <c r="GW35" s="7"/>
      <c r="GX35" s="9"/>
      <c r="GZ35" s="21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9"/>
      <c r="HN35" s="21"/>
      <c r="HO35" s="8" t="s">
        <v>312</v>
      </c>
      <c r="HP35" s="8">
        <f>IF(HP27&lt;$HP$30,0,1)</f>
        <v>0</v>
      </c>
      <c r="HQ35" s="8">
        <f t="shared" ref="HQ35:HZ35" si="79">IF(HQ27&lt;$HP$30,0,1)</f>
        <v>1</v>
      </c>
      <c r="HR35" s="8">
        <f t="shared" si="79"/>
        <v>0</v>
      </c>
      <c r="HS35" s="8">
        <f t="shared" si="79"/>
        <v>1</v>
      </c>
      <c r="HT35" s="8">
        <f t="shared" si="79"/>
        <v>0</v>
      </c>
      <c r="HU35" s="8">
        <f t="shared" si="79"/>
        <v>1</v>
      </c>
      <c r="HV35" s="8">
        <f t="shared" si="79"/>
        <v>0</v>
      </c>
      <c r="HW35" s="8">
        <f t="shared" si="79"/>
        <v>1</v>
      </c>
      <c r="HX35" s="8">
        <f t="shared" si="79"/>
        <v>1</v>
      </c>
      <c r="HY35" s="8">
        <f t="shared" si="79"/>
        <v>0</v>
      </c>
      <c r="HZ35" s="8">
        <f t="shared" si="79"/>
        <v>1</v>
      </c>
      <c r="IA35" s="8"/>
      <c r="IB35" s="21"/>
      <c r="IC35" s="8" t="s">
        <v>190</v>
      </c>
      <c r="ID35" s="8">
        <v>5</v>
      </c>
      <c r="IE35" s="8"/>
      <c r="IF35" s="8"/>
      <c r="IG35" s="8"/>
      <c r="IH35" s="8"/>
      <c r="II35" s="8"/>
      <c r="IJ35" s="9"/>
      <c r="IL35" s="21"/>
      <c r="IM35" s="8" t="s">
        <v>190</v>
      </c>
      <c r="IN35" s="8">
        <v>5</v>
      </c>
      <c r="IO35" s="8"/>
      <c r="IP35" s="8"/>
      <c r="IQ35" s="8"/>
      <c r="IR35" s="8"/>
      <c r="IS35" s="8"/>
      <c r="IT35" s="9"/>
      <c r="IV35" s="21"/>
      <c r="IW35" s="8"/>
      <c r="IX35" s="8"/>
      <c r="IY35" s="8"/>
      <c r="IZ35" s="8"/>
      <c r="JA35" s="8"/>
      <c r="JB35" s="8"/>
      <c r="JC35" s="8"/>
      <c r="JD35" s="9"/>
      <c r="JF35" s="21"/>
      <c r="JG35" s="8"/>
      <c r="JH35" s="8"/>
      <c r="JI35" s="8"/>
      <c r="JJ35" s="8"/>
      <c r="JK35" s="8"/>
      <c r="JL35" s="8"/>
      <c r="JM35" s="9"/>
      <c r="JO35" s="21"/>
      <c r="JP35" s="8"/>
      <c r="JQ35" s="8"/>
      <c r="JR35" s="8"/>
      <c r="JS35" s="8"/>
      <c r="JT35" s="8"/>
      <c r="JU35" s="8"/>
      <c r="JV35" s="9"/>
    </row>
    <row r="36" spans="37:282" x14ac:dyDescent="0.35">
      <c r="AK36" s="20" t="s">
        <v>261</v>
      </c>
      <c r="AL36" s="4"/>
      <c r="AM36" s="4"/>
      <c r="AN36" s="4"/>
      <c r="AO36" s="4"/>
      <c r="AP36" s="4"/>
      <c r="AQ36" s="4"/>
      <c r="AR36" s="4"/>
      <c r="AS36" s="4"/>
      <c r="AT36" s="4"/>
      <c r="AU36" s="5"/>
      <c r="AW36" s="21"/>
      <c r="AX36" s="8"/>
      <c r="AY36" s="8"/>
      <c r="AZ36" s="8"/>
      <c r="BA36" s="7"/>
      <c r="BB36" s="8"/>
      <c r="BC36" s="8"/>
      <c r="BD36" s="8"/>
      <c r="BE36" s="8"/>
      <c r="BF36" s="8"/>
      <c r="BG36" s="8"/>
      <c r="BH36" s="8"/>
      <c r="BI36" s="8"/>
      <c r="BJ36" s="9"/>
      <c r="BK36" s="8"/>
      <c r="BL36" s="21"/>
      <c r="BM36" s="8"/>
      <c r="BN36" s="8"/>
      <c r="BO36" s="8"/>
      <c r="BP36" s="7"/>
      <c r="BQ36" s="8"/>
      <c r="BR36" s="8"/>
      <c r="BS36" s="8"/>
      <c r="BT36" s="8"/>
      <c r="BU36" s="8"/>
      <c r="BV36" s="8"/>
      <c r="BW36" s="8"/>
      <c r="BX36" s="8"/>
      <c r="BY36" s="9"/>
      <c r="BZ36" s="8"/>
      <c r="CA36" s="21"/>
      <c r="CB36" s="8"/>
      <c r="CC36" s="25"/>
      <c r="CO36" s="27"/>
      <c r="EH36" s="52">
        <f t="shared" si="50"/>
        <v>31</v>
      </c>
      <c r="EI36" s="47">
        <v>4.7863665157638025</v>
      </c>
      <c r="EJ36" s="47">
        <v>5.6325615231617121</v>
      </c>
      <c r="EK36" s="47">
        <f t="shared" si="36"/>
        <v>0.6</v>
      </c>
      <c r="EL36" s="47">
        <f t="shared" si="37"/>
        <v>0.62</v>
      </c>
      <c r="EM36" s="45">
        <f t="shared" si="38"/>
        <v>0.61987435169961613</v>
      </c>
      <c r="EN36" s="45">
        <f t="shared" si="39"/>
        <v>1.9874351699616155E-2</v>
      </c>
      <c r="EO36" s="45">
        <f t="shared" si="40"/>
        <v>1.2564830038386265E-4</v>
      </c>
      <c r="EP36" s="8"/>
      <c r="EQ36" s="8"/>
      <c r="ER36" s="8"/>
      <c r="ES36" s="8"/>
      <c r="ET36" s="9"/>
      <c r="EV36" s="21">
        <f t="shared" si="41"/>
        <v>32</v>
      </c>
      <c r="EW36" s="25">
        <v>6.0560802365944255</v>
      </c>
      <c r="EX36" s="25">
        <v>5.7933374490676215</v>
      </c>
      <c r="EY36" s="8">
        <f t="shared" si="8"/>
        <v>33.562758798769337</v>
      </c>
      <c r="EZ36" s="7"/>
      <c r="FA36" s="8"/>
      <c r="FB36" s="8"/>
      <c r="FC36" s="8"/>
      <c r="FD36" s="8"/>
      <c r="FE36" s="8"/>
      <c r="FF36" s="8"/>
      <c r="FG36" s="8"/>
      <c r="FH36" s="8"/>
      <c r="FI36" s="9"/>
      <c r="GK36" s="33"/>
      <c r="GL36" s="33"/>
      <c r="GM36" s="70">
        <f>1+GM35</f>
        <v>2</v>
      </c>
      <c r="GN36" s="45">
        <v>0.30980000000000002</v>
      </c>
      <c r="GO36" s="70">
        <f t="shared" ref="GO36:GO46" si="80">+$GK$35-GM36+1</f>
        <v>23</v>
      </c>
      <c r="GP36" s="47">
        <f t="shared" ref="GP36:GP46" si="81">+VLOOKUP(GO36,$GM$7:$GN$30,2,FALSE)</f>
        <v>21.459704309236258</v>
      </c>
      <c r="GQ36" s="47">
        <f t="shared" ref="GQ36:GQ46" si="82">VLOOKUP(GM36,$GM$7:$GN$30,2,FALSE)</f>
        <v>10.263215168961324</v>
      </c>
      <c r="GR36" s="47">
        <f t="shared" ref="GR36:GR46" si="83">+GP36-GQ36</f>
        <v>11.196489140274934</v>
      </c>
      <c r="GS36" s="45">
        <f t="shared" ref="GS36:GS46" si="84">+GN36*GR36</f>
        <v>3.4686723356571747</v>
      </c>
      <c r="GT36" s="8"/>
      <c r="GU36" s="73" t="s">
        <v>9</v>
      </c>
      <c r="GV36" s="7">
        <v>0.01</v>
      </c>
      <c r="GW36" s="7"/>
      <c r="GX36" s="9"/>
      <c r="GZ36" s="21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9"/>
      <c r="HN36" s="21"/>
      <c r="HO36" s="8"/>
      <c r="HP36" s="8">
        <f>IF(HP28&lt;$HP$30,0,1)</f>
        <v>0</v>
      </c>
      <c r="HQ36" s="8">
        <f t="shared" ref="HQ36:HZ36" si="85">IF(HQ28&lt;$HP$30,0,1)</f>
        <v>1</v>
      </c>
      <c r="HR36" s="8">
        <f t="shared" si="85"/>
        <v>1</v>
      </c>
      <c r="HS36" s="8">
        <f t="shared" si="85"/>
        <v>1</v>
      </c>
      <c r="HT36" s="8">
        <f t="shared" si="85"/>
        <v>1</v>
      </c>
      <c r="HU36" s="8">
        <f t="shared" si="85"/>
        <v>1</v>
      </c>
      <c r="HV36" s="8">
        <f t="shared" si="85"/>
        <v>0</v>
      </c>
      <c r="HW36" s="8">
        <f t="shared" si="85"/>
        <v>0</v>
      </c>
      <c r="HX36" s="8">
        <f t="shared" si="85"/>
        <v>0</v>
      </c>
      <c r="HY36" s="8">
        <f t="shared" si="85"/>
        <v>0</v>
      </c>
      <c r="HZ36" s="8">
        <f t="shared" si="85"/>
        <v>0</v>
      </c>
      <c r="IA36" s="8"/>
      <c r="IB36" s="21"/>
      <c r="IC36" s="8" t="s">
        <v>192</v>
      </c>
      <c r="ID36" s="8">
        <v>4</v>
      </c>
      <c r="IE36" s="8"/>
      <c r="IF36" s="8"/>
      <c r="IG36" s="8"/>
      <c r="IH36" s="8"/>
      <c r="II36" s="8"/>
      <c r="IJ36" s="9"/>
      <c r="IL36" s="21"/>
      <c r="IM36" s="8" t="s">
        <v>192</v>
      </c>
      <c r="IN36" s="8">
        <v>4</v>
      </c>
      <c r="IO36" s="8"/>
      <c r="IP36" s="8"/>
      <c r="IQ36" s="8"/>
      <c r="IR36" s="8"/>
      <c r="IS36" s="8"/>
      <c r="IT36" s="9"/>
      <c r="IV36" s="21"/>
      <c r="IW36" s="8" t="s">
        <v>231</v>
      </c>
      <c r="IX36" s="26" t="s">
        <v>210</v>
      </c>
      <c r="IY36" s="83">
        <f>-IX34</f>
        <v>-2.5758293035488999</v>
      </c>
      <c r="IZ36" s="7" t="s">
        <v>163</v>
      </c>
      <c r="JA36" s="83">
        <f>+IX34</f>
        <v>2.5758293035488999</v>
      </c>
      <c r="JB36" s="26" t="s">
        <v>211</v>
      </c>
      <c r="JC36" s="8"/>
      <c r="JD36" s="9"/>
      <c r="JF36" s="21"/>
      <c r="JG36" s="8" t="s">
        <v>234</v>
      </c>
      <c r="JH36" s="8" t="s">
        <v>220</v>
      </c>
      <c r="JI36" s="8">
        <f>2*0.005</f>
        <v>0.01</v>
      </c>
      <c r="JJ36" s="31" t="s">
        <v>352</v>
      </c>
      <c r="JK36" s="8"/>
      <c r="JL36" s="8"/>
      <c r="JM36" s="9"/>
      <c r="JO36" s="21"/>
      <c r="JP36" s="14" t="s">
        <v>214</v>
      </c>
      <c r="JQ36" s="8">
        <f>+JT30</f>
        <v>46.5</v>
      </c>
      <c r="JR36" s="8"/>
      <c r="JS36" s="8"/>
      <c r="JT36" s="8"/>
      <c r="JU36" s="8"/>
      <c r="JV36" s="9"/>
    </row>
    <row r="37" spans="37:282" ht="16.5" x14ac:dyDescent="0.45">
      <c r="AK37" s="21"/>
      <c r="AL37" s="24" t="s">
        <v>18</v>
      </c>
      <c r="AM37" s="7" t="s">
        <v>19</v>
      </c>
      <c r="AN37" s="8"/>
      <c r="AO37" s="8"/>
      <c r="AP37" s="8"/>
      <c r="AQ37" s="8"/>
      <c r="AR37" s="7" t="s">
        <v>14</v>
      </c>
      <c r="AS37" s="14" t="s">
        <v>251</v>
      </c>
      <c r="AT37" s="7"/>
      <c r="AU37" s="9"/>
      <c r="AW37" s="21"/>
      <c r="AX37" s="8"/>
      <c r="AY37" s="8" t="s">
        <v>7</v>
      </c>
      <c r="AZ37" s="8">
        <v>30</v>
      </c>
      <c r="BA37" s="7"/>
      <c r="BB37" s="8"/>
      <c r="BC37" s="8"/>
      <c r="BD37" s="8"/>
      <c r="BE37" s="8"/>
      <c r="BF37" s="8"/>
      <c r="BG37" s="8"/>
      <c r="BH37" s="8"/>
      <c r="BI37" s="8"/>
      <c r="BJ37" s="9"/>
      <c r="BK37" s="8"/>
      <c r="BL37" s="21"/>
      <c r="BM37" s="8"/>
      <c r="BN37" s="8" t="s">
        <v>7</v>
      </c>
      <c r="BO37" s="8">
        <v>30</v>
      </c>
      <c r="BP37" s="7"/>
      <c r="BQ37" s="8"/>
      <c r="BR37" s="8"/>
      <c r="BS37" s="8"/>
      <c r="BT37" s="8"/>
      <c r="BU37" s="8"/>
      <c r="BV37" s="8"/>
      <c r="BW37" s="8"/>
      <c r="BX37" s="8"/>
      <c r="BY37" s="9"/>
      <c r="BZ37" s="8"/>
      <c r="CO37" s="27"/>
      <c r="EH37" s="52">
        <f t="shared" si="50"/>
        <v>32</v>
      </c>
      <c r="EI37" s="47">
        <v>6.0560802365944255</v>
      </c>
      <c r="EJ37" s="47">
        <v>5.7933374490676215</v>
      </c>
      <c r="EK37" s="47">
        <f t="shared" si="36"/>
        <v>0.62</v>
      </c>
      <c r="EL37" s="47">
        <f t="shared" si="37"/>
        <v>0.64</v>
      </c>
      <c r="EM37" s="45">
        <f t="shared" si="38"/>
        <v>0.65992084170560106</v>
      </c>
      <c r="EN37" s="45">
        <f t="shared" si="39"/>
        <v>3.9920841705601062E-2</v>
      </c>
      <c r="EO37" s="45">
        <f t="shared" si="40"/>
        <v>1.9920841705601045E-2</v>
      </c>
      <c r="EP37" s="8"/>
      <c r="EQ37" s="8"/>
      <c r="ER37" s="8"/>
      <c r="ES37" s="8"/>
      <c r="ET37" s="9"/>
      <c r="EV37" s="21">
        <f t="shared" si="41"/>
        <v>33</v>
      </c>
      <c r="EW37" s="25">
        <v>6.0833070973603753</v>
      </c>
      <c r="EX37" s="25">
        <v>5.9768211839400465</v>
      </c>
      <c r="EY37" s="8">
        <f t="shared" si="8"/>
        <v>35.722391464794498</v>
      </c>
      <c r="EZ37" s="7"/>
      <c r="FA37" s="8"/>
      <c r="FB37" s="8"/>
      <c r="FC37" s="8"/>
      <c r="FD37" s="8"/>
      <c r="FE37" s="8"/>
      <c r="FF37" s="8"/>
      <c r="FG37" s="8"/>
      <c r="FH37" s="8"/>
      <c r="FI37" s="9"/>
      <c r="GK37" s="33"/>
      <c r="GL37" s="33"/>
      <c r="GM37" s="70">
        <f t="shared" ref="GM37:GM46" si="86">1+GM36</f>
        <v>3</v>
      </c>
      <c r="GN37" s="45">
        <v>0.25540000000000002</v>
      </c>
      <c r="GO37" s="70">
        <f t="shared" si="80"/>
        <v>22</v>
      </c>
      <c r="GP37" s="47">
        <f t="shared" si="81"/>
        <v>20.071524356026202</v>
      </c>
      <c r="GQ37" s="47">
        <f t="shared" si="82"/>
        <v>11.055785231874324</v>
      </c>
      <c r="GR37" s="47">
        <f t="shared" si="83"/>
        <v>9.0157391241518781</v>
      </c>
      <c r="GS37" s="45">
        <f t="shared" si="84"/>
        <v>2.3026197723083897</v>
      </c>
      <c r="GT37" s="8"/>
      <c r="GU37" s="6" t="s">
        <v>7</v>
      </c>
      <c r="GV37" s="7">
        <f>+GK35</f>
        <v>24</v>
      </c>
      <c r="GW37" s="7"/>
      <c r="GX37" s="9"/>
      <c r="GZ37" s="21"/>
      <c r="HA37" s="8"/>
      <c r="HC37" s="8"/>
      <c r="HD37" s="8"/>
      <c r="HE37" s="8"/>
      <c r="HF37" s="8"/>
      <c r="HG37" s="8"/>
      <c r="HH37" s="8"/>
      <c r="HI37" s="8"/>
      <c r="HJ37" s="8"/>
      <c r="HK37" s="8"/>
      <c r="HL37" s="9"/>
      <c r="HN37" s="21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9"/>
      <c r="IA37" s="8"/>
      <c r="IB37" s="21"/>
      <c r="IC37" s="8" t="s">
        <v>191</v>
      </c>
      <c r="ID37" s="8">
        <v>13.276999999999999</v>
      </c>
      <c r="IE37" s="8"/>
      <c r="IF37" s="8"/>
      <c r="IG37" s="8"/>
      <c r="IH37" s="8"/>
      <c r="II37" s="8"/>
      <c r="IJ37" s="9"/>
      <c r="IL37" s="21"/>
      <c r="IM37" s="8" t="s">
        <v>191</v>
      </c>
      <c r="IN37" s="8">
        <v>13.276999999999999</v>
      </c>
      <c r="IO37" s="8"/>
      <c r="IP37" s="8"/>
      <c r="IQ37" s="8"/>
      <c r="IR37" s="8"/>
      <c r="IS37" s="8"/>
      <c r="IT37" s="9"/>
      <c r="IV37" s="21"/>
      <c r="IW37" s="8" t="s">
        <v>232</v>
      </c>
      <c r="IX37" s="83">
        <f>+IY36</f>
        <v>-2.5758293035488999</v>
      </c>
      <c r="IY37" s="83">
        <f>+JA36</f>
        <v>2.5758293035488999</v>
      </c>
      <c r="IZ37" s="8"/>
      <c r="JA37" s="8"/>
      <c r="JB37" s="8"/>
      <c r="JC37" s="8"/>
      <c r="JD37" s="9"/>
      <c r="JF37" s="22"/>
      <c r="JG37" s="17"/>
      <c r="JH37" s="17"/>
      <c r="JI37" s="17"/>
      <c r="JJ37" s="17"/>
      <c r="JK37" s="17"/>
      <c r="JL37" s="17"/>
      <c r="JM37" s="18"/>
      <c r="JO37" s="21"/>
      <c r="JP37" s="14" t="s">
        <v>215</v>
      </c>
      <c r="JQ37" s="8">
        <f>+JU30</f>
        <v>278.5</v>
      </c>
      <c r="JR37" s="8"/>
      <c r="JS37" s="8"/>
      <c r="JT37" s="8"/>
      <c r="JU37" s="8"/>
      <c r="JV37" s="9"/>
    </row>
    <row r="38" spans="37:282" x14ac:dyDescent="0.35">
      <c r="AK38" s="21"/>
      <c r="AL38" s="8" t="s">
        <v>17</v>
      </c>
      <c r="AM38" s="7">
        <v>10</v>
      </c>
      <c r="AN38" s="8"/>
      <c r="AO38" s="8"/>
      <c r="AP38" s="8"/>
      <c r="AQ38" s="8"/>
      <c r="AR38" s="7" t="s">
        <v>15</v>
      </c>
      <c r="AS38" s="14" t="s">
        <v>252</v>
      </c>
      <c r="AT38" s="7"/>
      <c r="AU38" s="9"/>
      <c r="AW38" s="21"/>
      <c r="AX38" s="8"/>
      <c r="AY38" s="8" t="s">
        <v>24</v>
      </c>
      <c r="AZ38" s="8">
        <f>+AY35/AZ37</f>
        <v>5.4115968415068592</v>
      </c>
      <c r="BA38" s="7"/>
      <c r="BB38" s="8"/>
      <c r="BC38" s="8"/>
      <c r="BD38" s="8"/>
      <c r="BE38" s="8"/>
      <c r="BF38" s="8"/>
      <c r="BG38" s="8"/>
      <c r="BH38" s="8"/>
      <c r="BI38" s="8"/>
      <c r="BJ38" s="9"/>
      <c r="BK38" s="8"/>
      <c r="BL38" s="21"/>
      <c r="BM38" s="8"/>
      <c r="BN38" s="8" t="s">
        <v>24</v>
      </c>
      <c r="BO38" s="8">
        <f>+BN35/BO37</f>
        <v>5.4115968415068592</v>
      </c>
      <c r="BP38" s="7"/>
      <c r="BQ38" s="8"/>
      <c r="BR38" s="8"/>
      <c r="BS38" s="8"/>
      <c r="BT38" s="8"/>
      <c r="BU38" s="8"/>
      <c r="BV38" s="8"/>
      <c r="BW38" s="8"/>
      <c r="BX38" s="8"/>
      <c r="BY38" s="9"/>
      <c r="BZ38" s="8"/>
      <c r="CO38" s="27"/>
      <c r="EH38" s="52">
        <f t="shared" si="50"/>
        <v>33</v>
      </c>
      <c r="EI38" s="47">
        <v>6.0833070973603753</v>
      </c>
      <c r="EJ38" s="47">
        <v>5.9768211839400465</v>
      </c>
      <c r="EK38" s="47">
        <f t="shared" si="36"/>
        <v>0.64</v>
      </c>
      <c r="EL38" s="47">
        <f t="shared" si="37"/>
        <v>0.66</v>
      </c>
      <c r="EM38" s="45">
        <f t="shared" si="38"/>
        <v>0.70349164612811355</v>
      </c>
      <c r="EN38" s="45">
        <f t="shared" si="39"/>
        <v>6.3491646128113532E-2</v>
      </c>
      <c r="EO38" s="45">
        <f t="shared" si="40"/>
        <v>4.3491646128113515E-2</v>
      </c>
      <c r="EP38" s="8"/>
      <c r="EQ38" s="8"/>
      <c r="ER38" s="8"/>
      <c r="ES38" s="8"/>
      <c r="ET38" s="9"/>
      <c r="EV38" s="21">
        <f t="shared" si="41"/>
        <v>34</v>
      </c>
      <c r="EW38" s="25">
        <v>4.7890301983716199</v>
      </c>
      <c r="EX38" s="25">
        <v>5.9876259809971089</v>
      </c>
      <c r="EY38" s="8">
        <f t="shared" si="8"/>
        <v>35.851664888311589</v>
      </c>
      <c r="EZ38" s="7"/>
      <c r="FA38" s="8"/>
      <c r="FB38" s="8"/>
      <c r="FC38" s="8"/>
      <c r="FD38" s="8"/>
      <c r="FE38" s="8"/>
      <c r="FF38" s="8"/>
      <c r="FG38" s="8"/>
      <c r="FH38" s="8"/>
      <c r="FI38" s="9"/>
      <c r="GK38" s="33"/>
      <c r="GL38" s="33"/>
      <c r="GM38" s="70">
        <f t="shared" si="86"/>
        <v>4</v>
      </c>
      <c r="GN38" s="45">
        <v>0.2145</v>
      </c>
      <c r="GO38" s="70">
        <f t="shared" si="80"/>
        <v>21</v>
      </c>
      <c r="GP38" s="47">
        <f t="shared" si="81"/>
        <v>19.614994395524263</v>
      </c>
      <c r="GQ38" s="47">
        <f t="shared" si="82"/>
        <v>11.939704942633398</v>
      </c>
      <c r="GR38" s="47">
        <f t="shared" si="83"/>
        <v>7.6752894528908655</v>
      </c>
      <c r="GS38" s="45">
        <f t="shared" si="84"/>
        <v>1.6463495876450907</v>
      </c>
      <c r="GT38" s="8"/>
      <c r="GU38" s="6" t="s">
        <v>8</v>
      </c>
      <c r="GV38" s="27">
        <v>0.88400000000000001</v>
      </c>
      <c r="GW38" s="7"/>
      <c r="GX38" s="9"/>
      <c r="GZ38" s="21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9"/>
      <c r="HN38" s="21"/>
      <c r="HO38" s="8" t="s">
        <v>306</v>
      </c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9"/>
      <c r="IA38" s="8"/>
      <c r="IB38" s="21"/>
      <c r="IC38" s="8"/>
      <c r="ID38" s="8"/>
      <c r="IE38" s="8"/>
      <c r="IF38" s="8"/>
      <c r="IG38" s="8"/>
      <c r="IH38" s="8"/>
      <c r="II38" s="8"/>
      <c r="IJ38" s="9"/>
      <c r="IL38" s="21"/>
      <c r="IM38" s="8"/>
      <c r="IN38" s="8"/>
      <c r="IO38" s="8"/>
      <c r="IP38" s="8"/>
      <c r="IQ38" s="8"/>
      <c r="IR38" s="8"/>
      <c r="IS38" s="8"/>
      <c r="IT38" s="9"/>
      <c r="IV38" s="21"/>
      <c r="IW38" s="8"/>
      <c r="IX38" s="8"/>
      <c r="IY38" s="8"/>
      <c r="IZ38" s="8"/>
      <c r="JA38" s="8"/>
      <c r="JB38" s="8"/>
      <c r="JC38" s="8"/>
      <c r="JD38" s="9"/>
      <c r="JO38" s="21"/>
      <c r="JP38" s="14" t="s">
        <v>7</v>
      </c>
      <c r="JQ38" s="8">
        <v>23</v>
      </c>
      <c r="JR38" s="8"/>
      <c r="JS38" s="8"/>
      <c r="JT38" s="8"/>
      <c r="JU38" s="8"/>
      <c r="JV38" s="9"/>
    </row>
    <row r="39" spans="37:282" ht="16.5" x14ac:dyDescent="0.45">
      <c r="AK39" s="21"/>
      <c r="AL39" s="8"/>
      <c r="AM39" s="8"/>
      <c r="AN39" s="8"/>
      <c r="AO39" s="8"/>
      <c r="AP39" s="8"/>
      <c r="AQ39" s="8"/>
      <c r="AR39" s="11" t="s">
        <v>9</v>
      </c>
      <c r="AS39" s="7">
        <v>0.01</v>
      </c>
      <c r="AT39" s="7"/>
      <c r="AU39" s="9"/>
      <c r="AW39" s="21"/>
      <c r="AX39" s="8"/>
      <c r="AY39" s="8" t="s">
        <v>31</v>
      </c>
      <c r="AZ39" s="8">
        <f>+AZ35/AZ37</f>
        <v>31.734605263784587</v>
      </c>
      <c r="BA39" s="7"/>
      <c r="BB39" s="8"/>
      <c r="BC39" s="8"/>
      <c r="BD39" s="8"/>
      <c r="BE39" s="8"/>
      <c r="BF39" s="8"/>
      <c r="BG39" s="8"/>
      <c r="BH39" s="8"/>
      <c r="BI39" s="8"/>
      <c r="BJ39" s="9"/>
      <c r="BK39" s="8"/>
      <c r="BL39" s="21"/>
      <c r="BM39" s="8"/>
      <c r="BN39" s="8" t="s">
        <v>31</v>
      </c>
      <c r="BO39" s="8">
        <f>+BO35/BO37</f>
        <v>31.734605263784587</v>
      </c>
      <c r="BP39" s="7"/>
      <c r="BQ39" s="8"/>
      <c r="BR39" s="8"/>
      <c r="BS39" s="8"/>
      <c r="BT39" s="8"/>
      <c r="BU39" s="8"/>
      <c r="BV39" s="8"/>
      <c r="BW39" s="8"/>
      <c r="BX39" s="8"/>
      <c r="BY39" s="9"/>
      <c r="BZ39" s="8"/>
      <c r="CO39" s="27"/>
      <c r="EH39" s="52">
        <f t="shared" si="50"/>
        <v>34</v>
      </c>
      <c r="EI39" s="47">
        <v>4.7890301983716199</v>
      </c>
      <c r="EJ39" s="47">
        <v>5.9876259809971089</v>
      </c>
      <c r="EK39" s="47">
        <f t="shared" si="36"/>
        <v>0.66</v>
      </c>
      <c r="EL39" s="47">
        <f t="shared" si="37"/>
        <v>0.68</v>
      </c>
      <c r="EM39" s="45">
        <f t="shared" si="38"/>
        <v>0.70597598900401892</v>
      </c>
      <c r="EN39" s="45">
        <f t="shared" si="39"/>
        <v>4.5975989004018891E-2</v>
      </c>
      <c r="EO39" s="45">
        <f t="shared" si="40"/>
        <v>2.5975989004018873E-2</v>
      </c>
      <c r="EP39" s="8"/>
      <c r="EQ39" s="8"/>
      <c r="ER39" s="8"/>
      <c r="ES39" s="8"/>
      <c r="ET39" s="9"/>
      <c r="EV39" s="21">
        <f t="shared" si="41"/>
        <v>35</v>
      </c>
      <c r="EW39" s="25">
        <v>3.4453404522355413</v>
      </c>
      <c r="EX39" s="25">
        <v>6.0239762104902184</v>
      </c>
      <c r="EY39" s="8">
        <f t="shared" si="8"/>
        <v>36.288289384552094</v>
      </c>
      <c r="EZ39" s="7"/>
      <c r="FA39" s="8"/>
      <c r="FB39" s="8"/>
      <c r="FC39" s="8"/>
      <c r="FD39" s="8"/>
      <c r="FE39" s="8"/>
      <c r="FF39" s="8"/>
      <c r="FG39" s="8"/>
      <c r="FH39" s="8"/>
      <c r="FI39" s="9"/>
      <c r="GK39" s="47"/>
      <c r="GL39" s="33"/>
      <c r="GM39" s="70">
        <f t="shared" si="86"/>
        <v>5</v>
      </c>
      <c r="GN39" s="45">
        <v>0.1807</v>
      </c>
      <c r="GO39" s="70">
        <f t="shared" si="80"/>
        <v>20</v>
      </c>
      <c r="GP39" s="47">
        <f t="shared" si="81"/>
        <v>18.694176484714262</v>
      </c>
      <c r="GQ39" s="47">
        <f t="shared" si="82"/>
        <v>12.077716216153931</v>
      </c>
      <c r="GR39" s="47">
        <f t="shared" si="83"/>
        <v>6.6164602685603313</v>
      </c>
      <c r="GS39" s="45">
        <f t="shared" si="84"/>
        <v>1.1955943705288519</v>
      </c>
      <c r="GT39" s="8"/>
      <c r="GU39" s="6" t="s">
        <v>232</v>
      </c>
      <c r="GV39" s="27">
        <f>+GV38</f>
        <v>0.88400000000000001</v>
      </c>
      <c r="GW39" s="13">
        <v>1</v>
      </c>
      <c r="GX39" s="9"/>
      <c r="GZ39" s="21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9"/>
      <c r="HN39" s="21"/>
      <c r="HO39" s="8" t="s">
        <v>358</v>
      </c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9"/>
      <c r="IA39" s="8"/>
      <c r="IB39" s="21"/>
      <c r="IC39" s="8" t="s">
        <v>231</v>
      </c>
      <c r="ID39" s="8">
        <f>+ID37</f>
        <v>13.276999999999999</v>
      </c>
      <c r="IE39" s="26" t="s">
        <v>177</v>
      </c>
      <c r="IF39" s="8"/>
      <c r="IG39" s="8"/>
      <c r="IH39" s="8"/>
      <c r="II39" s="8"/>
      <c r="IJ39" s="9"/>
      <c r="IL39" s="21"/>
      <c r="IM39" s="8" t="s">
        <v>231</v>
      </c>
      <c r="IN39" s="8">
        <f>+IN37</f>
        <v>13.276999999999999</v>
      </c>
      <c r="IO39" s="26" t="s">
        <v>177</v>
      </c>
      <c r="IP39" s="8"/>
      <c r="IQ39" s="8"/>
      <c r="IR39" s="8"/>
      <c r="IS39" s="8"/>
      <c r="IT39" s="9"/>
      <c r="IV39" s="21"/>
      <c r="IW39" s="8" t="s">
        <v>179</v>
      </c>
      <c r="IX39" s="8">
        <f>+(IX27-IX28)/IX30</f>
        <v>1.4506370414707315</v>
      </c>
      <c r="IY39" s="31" t="s">
        <v>340</v>
      </c>
      <c r="IZ39" s="8"/>
      <c r="JA39" s="8" t="s">
        <v>342</v>
      </c>
      <c r="JB39" s="8"/>
      <c r="JC39" s="8"/>
      <c r="JD39" s="9"/>
      <c r="JO39" s="21"/>
      <c r="JP39" s="8" t="s">
        <v>218</v>
      </c>
      <c r="JQ39" s="8">
        <f>+MIN(JQ36:JQ37)</f>
        <v>46.5</v>
      </c>
      <c r="JR39" s="8"/>
      <c r="JS39" s="8"/>
      <c r="JT39" s="8"/>
      <c r="JU39" s="8"/>
      <c r="JV39" s="9"/>
    </row>
    <row r="40" spans="37:282" ht="16.5" x14ac:dyDescent="0.35">
      <c r="AK40" s="21"/>
      <c r="AL40" s="91" t="s">
        <v>255</v>
      </c>
      <c r="AM40" s="7"/>
      <c r="AN40" s="7"/>
      <c r="AO40" s="7"/>
      <c r="AP40" s="91" t="s">
        <v>259</v>
      </c>
      <c r="AQ40" s="8"/>
      <c r="AR40" s="7" t="s">
        <v>245</v>
      </c>
      <c r="AS40" s="7">
        <v>3</v>
      </c>
      <c r="AT40" s="7"/>
      <c r="AU40" s="9"/>
      <c r="AW40" s="21"/>
      <c r="AX40" s="8"/>
      <c r="AY40" s="8" t="s">
        <v>23</v>
      </c>
      <c r="AZ40" s="8">
        <f>+AZ39-AZ38^2</f>
        <v>2.4492248887775716</v>
      </c>
      <c r="BA40" s="7"/>
      <c r="BB40" s="8"/>
      <c r="BC40" s="8"/>
      <c r="BD40" s="8"/>
      <c r="BE40" s="8"/>
      <c r="BF40" s="8"/>
      <c r="BG40" s="8"/>
      <c r="BH40" s="8"/>
      <c r="BI40" s="8"/>
      <c r="BJ40" s="9"/>
      <c r="BK40" s="8"/>
      <c r="BL40" s="21"/>
      <c r="BM40" s="8"/>
      <c r="BN40" s="8" t="s">
        <v>23</v>
      </c>
      <c r="BO40" s="8">
        <f>+BO39-BO38^2</f>
        <v>2.4492248887775716</v>
      </c>
      <c r="BP40" s="7"/>
      <c r="BQ40" s="8"/>
      <c r="BR40" s="8"/>
      <c r="BS40" s="8"/>
      <c r="BT40" s="8"/>
      <c r="BU40" s="8"/>
      <c r="BV40" s="8"/>
      <c r="BW40" s="8"/>
      <c r="BX40" s="8"/>
      <c r="BY40" s="9"/>
      <c r="BZ40" s="8"/>
      <c r="CO40" s="27"/>
      <c r="EH40" s="52">
        <f t="shared" si="50"/>
        <v>35</v>
      </c>
      <c r="EI40" s="47">
        <v>3.4453404522355413</v>
      </c>
      <c r="EJ40" s="47">
        <v>6.0239762104902184</v>
      </c>
      <c r="EK40" s="47">
        <f t="shared" si="36"/>
        <v>0.68</v>
      </c>
      <c r="EL40" s="47">
        <f t="shared" si="37"/>
        <v>0.7</v>
      </c>
      <c r="EM40" s="45">
        <f t="shared" si="38"/>
        <v>0.71426250105991262</v>
      </c>
      <c r="EN40" s="45">
        <f t="shared" si="39"/>
        <v>3.4262501059912576E-2</v>
      </c>
      <c r="EO40" s="45">
        <f t="shared" si="40"/>
        <v>1.4262501059912669E-2</v>
      </c>
      <c r="EP40" s="8"/>
      <c r="EQ40" s="8"/>
      <c r="ER40" s="8"/>
      <c r="ES40" s="8"/>
      <c r="ET40" s="9"/>
      <c r="EV40" s="21">
        <f t="shared" si="41"/>
        <v>36</v>
      </c>
      <c r="EW40" s="25">
        <v>6.302353211940499</v>
      </c>
      <c r="EX40" s="25">
        <v>6.0491822877156665</v>
      </c>
      <c r="EY40" s="8">
        <f t="shared" si="8"/>
        <v>36.592606350012943</v>
      </c>
      <c r="EZ40" s="7"/>
      <c r="FA40" s="8"/>
      <c r="FB40" s="8"/>
      <c r="FC40" s="8"/>
      <c r="FD40" s="8"/>
      <c r="FE40" s="8"/>
      <c r="FF40" s="8"/>
      <c r="FG40" s="8"/>
      <c r="FH40" s="8"/>
      <c r="FI40" s="9"/>
      <c r="GK40" s="33"/>
      <c r="GL40" s="33"/>
      <c r="GM40" s="70">
        <f t="shared" si="86"/>
        <v>6</v>
      </c>
      <c r="GN40" s="45">
        <v>0.1512</v>
      </c>
      <c r="GO40" s="70">
        <f t="shared" si="80"/>
        <v>19</v>
      </c>
      <c r="GP40" s="47">
        <f t="shared" si="81"/>
        <v>18.331469997647218</v>
      </c>
      <c r="GQ40" s="47">
        <f t="shared" si="82"/>
        <v>13.726207195431925</v>
      </c>
      <c r="GR40" s="47">
        <f t="shared" si="83"/>
        <v>4.605262802215293</v>
      </c>
      <c r="GS40" s="45">
        <f t="shared" si="84"/>
        <v>0.69631573569495231</v>
      </c>
      <c r="GT40" s="8"/>
      <c r="GU40" s="6" t="s">
        <v>231</v>
      </c>
      <c r="GV40" s="13">
        <v>0</v>
      </c>
      <c r="GW40" s="27">
        <f>+GV39</f>
        <v>0.88400000000000001</v>
      </c>
      <c r="GX40" s="9"/>
      <c r="GZ40" s="21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9"/>
      <c r="HN40" s="21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9"/>
      <c r="IA40" s="8"/>
      <c r="IB40" s="21"/>
      <c r="IC40" s="8" t="s">
        <v>232</v>
      </c>
      <c r="ID40" s="8">
        <v>0</v>
      </c>
      <c r="IE40" s="8">
        <f>+ID37</f>
        <v>13.276999999999999</v>
      </c>
      <c r="IF40" s="8"/>
      <c r="IG40" s="8"/>
      <c r="IH40" s="8"/>
      <c r="II40" s="8"/>
      <c r="IJ40" s="9"/>
      <c r="IL40" s="21"/>
      <c r="IM40" s="8" t="s">
        <v>232</v>
      </c>
      <c r="IN40" s="8">
        <v>0</v>
      </c>
      <c r="IO40" s="8">
        <f>+IN37</f>
        <v>13.276999999999999</v>
      </c>
      <c r="IP40" s="8"/>
      <c r="IQ40" s="8"/>
      <c r="IR40" s="8"/>
      <c r="IS40" s="8"/>
      <c r="IT40" s="9"/>
      <c r="IV40" s="21"/>
      <c r="IW40" s="8"/>
      <c r="IX40" s="8"/>
      <c r="IY40" s="8"/>
      <c r="IZ40" s="8"/>
      <c r="JA40" s="8"/>
      <c r="JB40" s="8"/>
      <c r="JC40" s="8"/>
      <c r="JD40" s="9"/>
      <c r="JO40" s="21"/>
      <c r="JP40" s="31" t="s">
        <v>205</v>
      </c>
      <c r="JQ40" s="8">
        <f>+JQ38*(JQ38+1)/4</f>
        <v>138</v>
      </c>
      <c r="JR40" s="8"/>
      <c r="JS40" s="8"/>
      <c r="JT40" s="8"/>
      <c r="JU40" s="8"/>
      <c r="JV40" s="9"/>
    </row>
    <row r="41" spans="37:282" x14ac:dyDescent="0.35">
      <c r="AK41" s="21"/>
      <c r="AL41" s="91" t="s">
        <v>256</v>
      </c>
      <c r="AM41" s="7" t="s">
        <v>0</v>
      </c>
      <c r="AN41" s="7" t="s">
        <v>1</v>
      </c>
      <c r="AO41" s="7" t="s">
        <v>2</v>
      </c>
      <c r="AP41" s="91" t="s">
        <v>229</v>
      </c>
      <c r="AQ41" s="8"/>
      <c r="AR41" s="7" t="s">
        <v>8</v>
      </c>
      <c r="AS41" s="7">
        <v>11.345000000000001</v>
      </c>
      <c r="AT41" s="7"/>
      <c r="AU41" s="9"/>
      <c r="AW41" s="21"/>
      <c r="AX41" s="8"/>
      <c r="AY41" s="8" t="s">
        <v>25</v>
      </c>
      <c r="AZ41" s="8">
        <f>+SQRT(AZ40)</f>
        <v>1.5649999644656774</v>
      </c>
      <c r="BA41" s="7"/>
      <c r="BB41" s="8"/>
      <c r="BC41" s="8"/>
      <c r="BD41" s="8"/>
      <c r="BE41" s="8"/>
      <c r="BF41" s="8"/>
      <c r="BG41" s="8"/>
      <c r="BH41" s="8"/>
      <c r="BI41" s="8"/>
      <c r="BJ41" s="9"/>
      <c r="BK41" s="8"/>
      <c r="BL41" s="21"/>
      <c r="BM41" s="8"/>
      <c r="BN41" s="8" t="s">
        <v>25</v>
      </c>
      <c r="BO41" s="8">
        <f>+SQRT(BO40)</f>
        <v>1.5649999644656774</v>
      </c>
      <c r="BP41" s="7"/>
      <c r="BQ41" s="8"/>
      <c r="BR41" s="8"/>
      <c r="BS41" s="8"/>
      <c r="BT41" s="8"/>
      <c r="BU41" s="8"/>
      <c r="BV41" s="8"/>
      <c r="BW41" s="8"/>
      <c r="BX41" s="8"/>
      <c r="BY41" s="9"/>
      <c r="BZ41" s="8"/>
      <c r="CO41" s="27"/>
      <c r="EH41" s="52">
        <f t="shared" si="50"/>
        <v>36</v>
      </c>
      <c r="EI41" s="47">
        <v>6.302353211940499</v>
      </c>
      <c r="EJ41" s="47">
        <v>6.0491822877156665</v>
      </c>
      <c r="EK41" s="47">
        <f t="shared" si="36"/>
        <v>0.7</v>
      </c>
      <c r="EL41" s="47">
        <f t="shared" si="37"/>
        <v>0.72</v>
      </c>
      <c r="EM41" s="45">
        <f t="shared" si="38"/>
        <v>0.71994254622675025</v>
      </c>
      <c r="EN41" s="45">
        <f t="shared" si="39"/>
        <v>1.9942546226750291E-2</v>
      </c>
      <c r="EO41" s="45">
        <f t="shared" si="40"/>
        <v>5.7453773249727114E-5</v>
      </c>
      <c r="EP41" s="8"/>
      <c r="EQ41" s="8"/>
      <c r="ER41" s="8"/>
      <c r="ES41" s="8"/>
      <c r="ET41" s="9"/>
      <c r="EV41" s="21">
        <f t="shared" si="41"/>
        <v>37</v>
      </c>
      <c r="EW41" s="25">
        <v>8.75646777683869</v>
      </c>
      <c r="EX41" s="25">
        <v>6.0560802365944255</v>
      </c>
      <c r="EY41" s="8">
        <f t="shared" si="8"/>
        <v>36.67610783206959</v>
      </c>
      <c r="EZ41" s="7"/>
      <c r="FA41" s="8"/>
      <c r="FB41" s="8"/>
      <c r="FC41" s="8"/>
      <c r="FD41" s="8"/>
      <c r="FE41" s="8"/>
      <c r="FF41" s="8"/>
      <c r="FG41" s="8"/>
      <c r="FH41" s="8"/>
      <c r="FI41" s="9"/>
      <c r="GK41" s="33"/>
      <c r="GL41" s="33"/>
      <c r="GM41" s="70">
        <f t="shared" si="86"/>
        <v>7</v>
      </c>
      <c r="GN41" s="45">
        <v>0.1245</v>
      </c>
      <c r="GO41" s="70">
        <f t="shared" si="80"/>
        <v>18</v>
      </c>
      <c r="GP41" s="47">
        <f t="shared" si="81"/>
        <v>18.170534910168499</v>
      </c>
      <c r="GQ41" s="47">
        <f t="shared" si="82"/>
        <v>13.803873495489825</v>
      </c>
      <c r="GR41" s="47">
        <f t="shared" si="83"/>
        <v>4.3666614146786742</v>
      </c>
      <c r="GS41" s="45">
        <f t="shared" si="84"/>
        <v>0.54364934612749494</v>
      </c>
      <c r="GT41" s="8"/>
      <c r="GU41" s="6"/>
      <c r="GV41" s="7"/>
      <c r="GW41" s="7"/>
      <c r="GX41" s="9"/>
      <c r="GZ41" s="21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9"/>
      <c r="HN41" s="21"/>
      <c r="HO41" s="8" t="s">
        <v>156</v>
      </c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9"/>
      <c r="IA41" s="8"/>
      <c r="IB41" s="21"/>
      <c r="IC41" s="8"/>
      <c r="ID41" s="8"/>
      <c r="IE41" s="8"/>
      <c r="IF41" s="8"/>
      <c r="IG41" s="8"/>
      <c r="IH41" s="8"/>
      <c r="II41" s="8"/>
      <c r="IJ41" s="9"/>
      <c r="IL41" s="21"/>
      <c r="IM41" s="8"/>
      <c r="IN41" s="8"/>
      <c r="IO41" s="8"/>
      <c r="IP41" s="8"/>
      <c r="IQ41" s="8"/>
      <c r="IR41" s="8"/>
      <c r="IS41" s="8"/>
      <c r="IT41" s="9"/>
      <c r="IV41" s="21"/>
      <c r="IW41" s="8" t="s">
        <v>323</v>
      </c>
      <c r="IX41" s="28">
        <f>2*(1-_xlfn.NORM.S.DIST(IX39,TRUE))</f>
        <v>0.14688095514657462</v>
      </c>
      <c r="IY41" s="8" t="s">
        <v>341</v>
      </c>
      <c r="IZ41" s="8"/>
      <c r="JA41" s="8"/>
      <c r="JB41" s="8"/>
      <c r="JC41" s="8"/>
      <c r="JD41" s="9"/>
      <c r="JO41" s="21"/>
      <c r="JP41" s="31" t="s">
        <v>206</v>
      </c>
      <c r="JQ41" s="8">
        <f>+JQ38*(JQ38+1)*(2*JQ38+1)/24</f>
        <v>1081</v>
      </c>
      <c r="JR41" s="8"/>
      <c r="JS41" s="8"/>
      <c r="JT41" s="8"/>
      <c r="JU41" s="8"/>
      <c r="JV41" s="9"/>
    </row>
    <row r="42" spans="37:282" ht="17.5" x14ac:dyDescent="0.45">
      <c r="AK42" s="21"/>
      <c r="AL42" s="7" t="s">
        <v>257</v>
      </c>
      <c r="AM42" s="7">
        <f>+SUM(AM52:AM54)</f>
        <v>11</v>
      </c>
      <c r="AN42" s="7">
        <f>BINOMDIST(2,$AM$4,$AN$32,TRUE)</f>
        <v>0.21853345986524383</v>
      </c>
      <c r="AO42" s="7">
        <f>+AN42*$AM$14</f>
        <v>8.3042714748792665</v>
      </c>
      <c r="AP42" s="7">
        <f>+(AM42-AO42)^2/AO42</f>
        <v>0.87508606903476227</v>
      </c>
      <c r="AQ42" s="8"/>
      <c r="AR42" s="91" t="s">
        <v>231</v>
      </c>
      <c r="AS42" s="7">
        <f>+AS41</f>
        <v>11.345000000000001</v>
      </c>
      <c r="AT42" s="13" t="s">
        <v>11</v>
      </c>
      <c r="AU42" s="9"/>
      <c r="AW42" s="21"/>
      <c r="AX42" s="8"/>
      <c r="AY42" s="8" t="s">
        <v>30</v>
      </c>
      <c r="AZ42" s="8">
        <f>+AZ37/(AZ37-1)*AZ40</f>
        <v>2.5336809194250742</v>
      </c>
      <c r="BA42" s="7"/>
      <c r="BB42" s="8"/>
      <c r="BC42" s="8"/>
      <c r="BD42" s="8"/>
      <c r="BE42" s="8"/>
      <c r="BF42" s="8"/>
      <c r="BG42" s="8"/>
      <c r="BH42" s="8"/>
      <c r="BI42" s="8"/>
      <c r="BJ42" s="9"/>
      <c r="BK42" s="8"/>
      <c r="BL42" s="21"/>
      <c r="BM42" s="8"/>
      <c r="BN42" s="8" t="s">
        <v>30</v>
      </c>
      <c r="BO42" s="8">
        <f>+BO37/(BO37-1)*BO40</f>
        <v>2.5336809194250742</v>
      </c>
      <c r="BP42" s="7"/>
      <c r="BQ42" s="8"/>
      <c r="BR42" s="8"/>
      <c r="BS42" s="8"/>
      <c r="BT42" s="8"/>
      <c r="BU42" s="8"/>
      <c r="BV42" s="8"/>
      <c r="BW42" s="8"/>
      <c r="BX42" s="8"/>
      <c r="BY42" s="9"/>
      <c r="BZ42" s="8"/>
      <c r="CO42" s="27"/>
      <c r="EH42" s="52">
        <f t="shared" si="50"/>
        <v>37</v>
      </c>
      <c r="EI42" s="47">
        <v>8.75646777683869</v>
      </c>
      <c r="EJ42" s="47">
        <v>6.0560802365944255</v>
      </c>
      <c r="EK42" s="47">
        <f t="shared" si="36"/>
        <v>0.72</v>
      </c>
      <c r="EL42" s="47">
        <f t="shared" si="37"/>
        <v>0.74</v>
      </c>
      <c r="EM42" s="45">
        <f t="shared" si="38"/>
        <v>0.72148736684104064</v>
      </c>
      <c r="EN42" s="45">
        <f t="shared" si="39"/>
        <v>1.4873668410406715E-3</v>
      </c>
      <c r="EO42" s="45">
        <f t="shared" si="40"/>
        <v>1.8512633158959346E-2</v>
      </c>
      <c r="EP42" s="8"/>
      <c r="EQ42" s="8"/>
      <c r="ER42" s="8"/>
      <c r="ES42" s="8"/>
      <c r="ET42" s="9"/>
      <c r="EV42" s="21">
        <f t="shared" si="41"/>
        <v>38</v>
      </c>
      <c r="EW42" s="25">
        <v>1.3132177072111517</v>
      </c>
      <c r="EX42" s="25">
        <v>6.0833070973603753</v>
      </c>
      <c r="EY42" s="8">
        <f t="shared" si="8"/>
        <v>37.006625240795117</v>
      </c>
      <c r="EZ42" s="7"/>
      <c r="FA42" s="8"/>
      <c r="FB42" s="8"/>
      <c r="FC42" s="8"/>
      <c r="FD42" s="8"/>
      <c r="FE42" s="8"/>
      <c r="FF42" s="8"/>
      <c r="FG42" s="8"/>
      <c r="FH42" s="8"/>
      <c r="FI42" s="9"/>
      <c r="GK42" s="33"/>
      <c r="GL42" s="33"/>
      <c r="GM42" s="70">
        <f t="shared" si="86"/>
        <v>8</v>
      </c>
      <c r="GN42" s="45">
        <v>9.9699999999999997E-2</v>
      </c>
      <c r="GO42" s="70">
        <f t="shared" si="80"/>
        <v>17</v>
      </c>
      <c r="GP42" s="47">
        <f t="shared" si="81"/>
        <v>18.115528670605272</v>
      </c>
      <c r="GQ42" s="47">
        <f t="shared" si="82"/>
        <v>14.104425114637706</v>
      </c>
      <c r="GR42" s="47">
        <f t="shared" si="83"/>
        <v>4.0111035559675656</v>
      </c>
      <c r="GS42" s="45">
        <f t="shared" si="84"/>
        <v>0.39990702452996629</v>
      </c>
      <c r="GT42" s="8"/>
      <c r="GU42" s="85" t="s">
        <v>222</v>
      </c>
      <c r="GV42" s="28">
        <f>+GS47^2/GQ9</f>
        <v>0.97462713581339566</v>
      </c>
      <c r="GW42" s="7"/>
      <c r="GX42" s="9"/>
      <c r="GZ42" s="21"/>
      <c r="HA42" s="31" t="s">
        <v>174</v>
      </c>
      <c r="HB42" s="8">
        <v>1.96</v>
      </c>
      <c r="HC42" s="8"/>
      <c r="HD42" s="8"/>
      <c r="HE42" s="8"/>
      <c r="HF42" s="8"/>
      <c r="HG42" s="8"/>
      <c r="HH42" s="8"/>
      <c r="HI42" s="8"/>
      <c r="HJ42" s="8"/>
      <c r="HK42" s="8"/>
      <c r="HL42" s="9"/>
      <c r="HN42" s="21"/>
      <c r="HO42" s="31" t="s">
        <v>157</v>
      </c>
      <c r="HP42" s="8">
        <v>0.05</v>
      </c>
      <c r="HQ42" s="8"/>
      <c r="HR42" s="8"/>
      <c r="HS42" s="8"/>
      <c r="HT42" s="8"/>
      <c r="HU42" s="8"/>
      <c r="HV42" s="8"/>
      <c r="HW42" s="8"/>
      <c r="HX42" s="8"/>
      <c r="HY42" s="8"/>
      <c r="HZ42" s="9"/>
      <c r="IA42" s="8"/>
      <c r="IB42" s="21"/>
      <c r="IC42" s="8" t="s">
        <v>193</v>
      </c>
      <c r="ID42" s="28">
        <f>+II20</f>
        <v>4.9085085085085094</v>
      </c>
      <c r="IE42" s="31" t="s">
        <v>194</v>
      </c>
      <c r="IF42" s="8" t="s">
        <v>324</v>
      </c>
      <c r="IG42" s="8"/>
      <c r="IH42" s="8"/>
      <c r="II42" s="8"/>
      <c r="IJ42" s="9"/>
      <c r="IL42" s="21"/>
      <c r="IM42" s="8" t="s">
        <v>193</v>
      </c>
      <c r="IN42" s="28">
        <f>+IS20</f>
        <v>120.07121339511684</v>
      </c>
      <c r="IO42" s="31" t="s">
        <v>196</v>
      </c>
      <c r="IP42" s="8" t="s">
        <v>285</v>
      </c>
      <c r="IQ42" s="8"/>
      <c r="IR42" s="8"/>
      <c r="IS42" s="8"/>
      <c r="IT42" s="9"/>
      <c r="IV42" s="22"/>
      <c r="IW42" s="17"/>
      <c r="IX42" s="17"/>
      <c r="IY42" s="17"/>
      <c r="IZ42" s="17"/>
      <c r="JA42" s="17"/>
      <c r="JB42" s="17"/>
      <c r="JC42" s="17"/>
      <c r="JD42" s="18"/>
      <c r="JO42" s="21"/>
      <c r="JP42" s="31" t="s">
        <v>207</v>
      </c>
      <c r="JQ42" s="28">
        <f>+SQRT(JQ41)</f>
        <v>32.878564445547191</v>
      </c>
      <c r="JR42" s="8"/>
      <c r="JS42" s="8"/>
      <c r="JT42" s="8"/>
      <c r="JU42" s="8"/>
      <c r="JV42" s="9"/>
    </row>
    <row r="43" spans="37:282" ht="16.5" x14ac:dyDescent="0.45">
      <c r="AK43" s="21"/>
      <c r="AL43" s="7">
        <v>3</v>
      </c>
      <c r="AM43" s="7">
        <f>+AM55</f>
        <v>7</v>
      </c>
      <c r="AN43" s="7">
        <f>BINOMDIST(AL43,$AM$4,$AN$32,FALSE)</f>
        <v>0.23866455469616019</v>
      </c>
      <c r="AO43" s="7">
        <f>+AN43*$AM$14</f>
        <v>9.0692530784540875</v>
      </c>
      <c r="AP43" s="7">
        <f>+(AM43-AO43)^2/AO43</f>
        <v>0.47212358786900005</v>
      </c>
      <c r="AQ43" s="8"/>
      <c r="AR43" s="91" t="s">
        <v>232</v>
      </c>
      <c r="AS43" s="13" t="s">
        <v>12</v>
      </c>
      <c r="AT43" s="7">
        <f>+AS42</f>
        <v>11.345000000000001</v>
      </c>
      <c r="AU43" s="9"/>
      <c r="AW43" s="21"/>
      <c r="AX43" s="8"/>
      <c r="AY43" s="8" t="s">
        <v>32</v>
      </c>
      <c r="AZ43" s="8">
        <f>+SQRT(AZ42)</f>
        <v>1.5917540386080615</v>
      </c>
      <c r="BA43" s="7"/>
      <c r="BB43" s="8"/>
      <c r="BC43" s="8"/>
      <c r="BD43" s="8"/>
      <c r="BE43" s="8"/>
      <c r="BF43" s="8"/>
      <c r="BG43" s="8"/>
      <c r="BH43" s="8"/>
      <c r="BI43" s="8"/>
      <c r="BJ43" s="9"/>
      <c r="BK43" s="8"/>
      <c r="BL43" s="21"/>
      <c r="BM43" s="8"/>
      <c r="BN43" s="8" t="s">
        <v>32</v>
      </c>
      <c r="BO43" s="8">
        <f>+SQRT(BO42)</f>
        <v>1.5917540386080615</v>
      </c>
      <c r="BP43" s="7"/>
      <c r="BQ43" s="8"/>
      <c r="BR43" s="8"/>
      <c r="BS43" s="8"/>
      <c r="BT43" s="8"/>
      <c r="BU43" s="8"/>
      <c r="BV43" s="8"/>
      <c r="BW43" s="8"/>
      <c r="BX43" s="8"/>
      <c r="BY43" s="9"/>
      <c r="BZ43" s="8"/>
      <c r="CO43" s="27"/>
      <c r="EH43" s="52">
        <f t="shared" si="50"/>
        <v>38</v>
      </c>
      <c r="EI43" s="47">
        <v>1.3132177072111517</v>
      </c>
      <c r="EJ43" s="47">
        <v>6.0833070973603753</v>
      </c>
      <c r="EK43" s="47">
        <f t="shared" si="36"/>
        <v>0.74</v>
      </c>
      <c r="EL43" s="47">
        <f t="shared" si="37"/>
        <v>0.76</v>
      </c>
      <c r="EM43" s="45">
        <f t="shared" si="38"/>
        <v>0.72754407430763857</v>
      </c>
      <c r="EN43" s="45">
        <f t="shared" si="39"/>
        <v>1.2455925692361425E-2</v>
      </c>
      <c r="EO43" s="45">
        <f t="shared" si="40"/>
        <v>3.2455925692361443E-2</v>
      </c>
      <c r="EP43" s="8"/>
      <c r="EQ43" s="8"/>
      <c r="ER43" s="8"/>
      <c r="ES43" s="8"/>
      <c r="ET43" s="9"/>
      <c r="EV43" s="21">
        <f t="shared" si="41"/>
        <v>39</v>
      </c>
      <c r="EW43" s="25">
        <v>5.3979170060119941</v>
      </c>
      <c r="EX43" s="25">
        <v>6.0846474651771132</v>
      </c>
      <c r="EY43" s="8">
        <f t="shared" si="8"/>
        <v>37.02293477548627</v>
      </c>
      <c r="EZ43" s="7"/>
      <c r="FA43" s="8"/>
      <c r="FB43" s="8"/>
      <c r="FC43" s="8"/>
      <c r="FD43" s="8"/>
      <c r="FE43" s="8"/>
      <c r="FF43" s="8"/>
      <c r="FG43" s="8"/>
      <c r="FH43" s="8"/>
      <c r="FI43" s="9"/>
      <c r="GK43" s="33"/>
      <c r="GL43" s="33"/>
      <c r="GM43" s="70">
        <f t="shared" si="86"/>
        <v>9</v>
      </c>
      <c r="GN43" s="45">
        <v>7.6399999999999996E-2</v>
      </c>
      <c r="GO43" s="70">
        <f t="shared" si="80"/>
        <v>16</v>
      </c>
      <c r="GP43" s="47">
        <f t="shared" si="81"/>
        <v>17.003762347158045</v>
      </c>
      <c r="GQ43" s="47">
        <f t="shared" si="82"/>
        <v>14.341753209591843</v>
      </c>
      <c r="GR43" s="47">
        <f t="shared" si="83"/>
        <v>2.6620091375662014</v>
      </c>
      <c r="GS43" s="45">
        <f t="shared" si="84"/>
        <v>0.20337749811005779</v>
      </c>
      <c r="GT43" s="8"/>
      <c r="GU43" s="74" t="s">
        <v>302</v>
      </c>
      <c r="GV43" s="17"/>
      <c r="GW43" s="17"/>
      <c r="GX43" s="18"/>
      <c r="GZ43" s="21"/>
      <c r="HA43" s="81" t="s">
        <v>175</v>
      </c>
      <c r="HB43" s="8">
        <v>-1.96</v>
      </c>
      <c r="HC43" s="8"/>
      <c r="HD43" s="8"/>
      <c r="HE43" s="8"/>
      <c r="HF43" s="8"/>
      <c r="HG43" s="8"/>
      <c r="HH43" s="8"/>
      <c r="HI43" s="8"/>
      <c r="HJ43" s="8"/>
      <c r="HK43" s="8"/>
      <c r="HL43" s="9"/>
      <c r="HN43" s="21"/>
      <c r="HO43" s="31" t="s">
        <v>158</v>
      </c>
      <c r="HP43" s="8">
        <f>+HP42/2</f>
        <v>2.5000000000000001E-2</v>
      </c>
      <c r="HQ43" s="8"/>
      <c r="HR43" s="8"/>
      <c r="HS43" s="8"/>
      <c r="HT43" s="8"/>
      <c r="HU43" s="8"/>
      <c r="HV43" s="8"/>
      <c r="HW43" s="8"/>
      <c r="HX43" s="8"/>
      <c r="HY43" s="8"/>
      <c r="HZ43" s="9"/>
      <c r="IA43" s="8"/>
      <c r="IB43" s="21"/>
      <c r="IC43" s="8"/>
      <c r="ID43" s="8"/>
      <c r="IE43" s="8"/>
      <c r="IF43" s="8"/>
      <c r="IG43" s="8"/>
      <c r="IH43" s="8"/>
      <c r="II43" s="8"/>
      <c r="IJ43" s="9"/>
      <c r="IL43" s="21"/>
      <c r="IM43" s="8"/>
      <c r="IN43" s="8"/>
      <c r="IO43" s="8"/>
      <c r="IP43" s="8"/>
      <c r="IQ43" s="8"/>
      <c r="IR43" s="8"/>
      <c r="IS43" s="8"/>
      <c r="IT43" s="9"/>
      <c r="JO43" s="21"/>
      <c r="JP43" s="31" t="s">
        <v>9</v>
      </c>
      <c r="JQ43" s="8">
        <v>0.05</v>
      </c>
      <c r="JR43" s="8"/>
      <c r="JS43" s="8"/>
      <c r="JT43" s="8"/>
      <c r="JU43" s="8"/>
      <c r="JV43" s="9"/>
    </row>
    <row r="44" spans="37:282" ht="16.5" x14ac:dyDescent="0.45">
      <c r="AK44" s="21"/>
      <c r="AL44" s="7">
        <v>4</v>
      </c>
      <c r="AM44" s="7">
        <f>+AM56</f>
        <v>8</v>
      </c>
      <c r="AN44" s="7">
        <f>BINOMDIST(AL44,$AM$4,$AN$32,FALSE)</f>
        <v>0.24640367728568013</v>
      </c>
      <c r="AO44" s="7">
        <f>+AN44*$AM$14</f>
        <v>9.3633397368558455</v>
      </c>
      <c r="AP44" s="7">
        <f>+(AM44-AO44)^2/AO44</f>
        <v>0.19850772163846583</v>
      </c>
      <c r="AQ44" s="8"/>
      <c r="AR44" s="7"/>
      <c r="AS44" s="7"/>
      <c r="AT44" s="7"/>
      <c r="AU44" s="9"/>
      <c r="AW44" s="21"/>
      <c r="AX44" s="8"/>
      <c r="AY44" s="8"/>
      <c r="AZ44" s="8"/>
      <c r="BA44" s="7"/>
      <c r="BB44" s="8"/>
      <c r="BC44" s="8"/>
      <c r="BD44" s="8"/>
      <c r="BE44" s="8"/>
      <c r="BF44" s="8"/>
      <c r="BG44" s="8"/>
      <c r="BH44" s="8"/>
      <c r="BI44" s="8"/>
      <c r="BJ44" s="9"/>
      <c r="BK44" s="8"/>
      <c r="BL44" s="21"/>
      <c r="BM44" s="8"/>
      <c r="BN44" s="8"/>
      <c r="BO44" s="8"/>
      <c r="BP44" s="7"/>
      <c r="BQ44" s="8"/>
      <c r="BR44" s="8"/>
      <c r="BS44" s="8" t="s">
        <v>271</v>
      </c>
      <c r="BT44" s="8"/>
      <c r="BU44" s="8"/>
      <c r="BV44" s="8"/>
      <c r="BW44" s="8"/>
      <c r="BX44" s="8"/>
      <c r="BY44" s="9"/>
      <c r="BZ44" s="8"/>
      <c r="CO44" s="27"/>
      <c r="EH44" s="52">
        <f t="shared" si="50"/>
        <v>39</v>
      </c>
      <c r="EI44" s="47">
        <v>5.3979170060119941</v>
      </c>
      <c r="EJ44" s="47">
        <v>6.0846474651771132</v>
      </c>
      <c r="EK44" s="47">
        <f t="shared" si="36"/>
        <v>0.76</v>
      </c>
      <c r="EL44" s="47">
        <f t="shared" si="37"/>
        <v>0.78</v>
      </c>
      <c r="EM44" s="45">
        <f t="shared" si="38"/>
        <v>0.72784054587394542</v>
      </c>
      <c r="EN44" s="45">
        <f t="shared" si="39"/>
        <v>3.2159454126054587E-2</v>
      </c>
      <c r="EO44" s="45">
        <f t="shared" si="40"/>
        <v>5.2159454126054605E-2</v>
      </c>
      <c r="EP44" s="8"/>
      <c r="EQ44" s="8"/>
      <c r="ER44" s="8"/>
      <c r="ES44" s="8"/>
      <c r="ET44" s="9"/>
      <c r="EV44" s="21">
        <f t="shared" si="41"/>
        <v>40</v>
      </c>
      <c r="EW44" s="25">
        <v>4.36392555355269</v>
      </c>
      <c r="EX44" s="25">
        <v>6.0987059795297682</v>
      </c>
      <c r="EY44" s="8">
        <f t="shared" si="8"/>
        <v>37.194214624752149</v>
      </c>
      <c r="EZ44" s="7"/>
      <c r="FA44" s="8"/>
      <c r="FB44" s="8"/>
      <c r="FC44" s="8"/>
      <c r="FD44" s="8"/>
      <c r="FE44" s="8"/>
      <c r="FF44" s="8"/>
      <c r="FG44" s="8"/>
      <c r="FH44" s="8"/>
      <c r="FI44" s="9"/>
      <c r="GK44" s="33"/>
      <c r="GL44" s="33"/>
      <c r="GM44" s="70">
        <f t="shared" si="86"/>
        <v>10</v>
      </c>
      <c r="GN44" s="45">
        <v>5.3900000000000003E-2</v>
      </c>
      <c r="GO44" s="70">
        <f t="shared" si="80"/>
        <v>15</v>
      </c>
      <c r="GP44" s="47">
        <f t="shared" si="81"/>
        <v>16.729404175421223</v>
      </c>
      <c r="GQ44" s="47">
        <f t="shared" si="82"/>
        <v>14.357260094257072</v>
      </c>
      <c r="GR44" s="47">
        <f t="shared" si="83"/>
        <v>2.3721440811641514</v>
      </c>
      <c r="GS44" s="45">
        <f t="shared" si="84"/>
        <v>0.12785856597474776</v>
      </c>
      <c r="GT44" s="8"/>
      <c r="GU44" s="8"/>
      <c r="GV44" s="8"/>
      <c r="GW44" s="8"/>
      <c r="GX44" s="9"/>
      <c r="GZ44" s="21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9"/>
      <c r="HN44" s="21"/>
      <c r="HO44" s="31" t="s">
        <v>159</v>
      </c>
      <c r="HP44" s="8">
        <v>5</v>
      </c>
      <c r="HQ44" s="8"/>
      <c r="HR44" s="8"/>
      <c r="HS44" s="8"/>
      <c r="HT44" s="8"/>
      <c r="HU44" s="8"/>
      <c r="HV44" s="8"/>
      <c r="HW44" s="8"/>
      <c r="HX44" s="8"/>
      <c r="HY44" s="8"/>
      <c r="HZ44" s="9"/>
      <c r="IA44" s="8"/>
      <c r="IB44" s="21"/>
      <c r="IC44" s="8" t="s">
        <v>323</v>
      </c>
      <c r="ID44" s="8" t="s">
        <v>195</v>
      </c>
      <c r="IE44" s="28">
        <f>_xlfn.CHISQ.DIST.RT(ID42,ID36)</f>
        <v>0.29681457382799392</v>
      </c>
      <c r="IF44" s="8" t="s">
        <v>325</v>
      </c>
      <c r="IG44" s="8"/>
      <c r="IH44" s="8"/>
      <c r="II44" s="8"/>
      <c r="IJ44" s="9"/>
      <c r="IL44" s="21"/>
      <c r="IM44" s="8" t="s">
        <v>323</v>
      </c>
      <c r="IN44" s="8" t="s">
        <v>195</v>
      </c>
      <c r="IO44" s="28">
        <f>_xlfn.CHISQ.DIST.RT(IN42,IN36)</f>
        <v>5.1576344658238387E-25</v>
      </c>
      <c r="IP44" s="8" t="s">
        <v>333</v>
      </c>
      <c r="IQ44" s="8"/>
      <c r="IR44" s="8"/>
      <c r="IS44" s="8"/>
      <c r="IT44" s="9"/>
      <c r="JO44" s="21"/>
      <c r="JP44" s="31" t="s">
        <v>208</v>
      </c>
      <c r="JQ44" s="8">
        <f>+JQ43/2</f>
        <v>2.5000000000000001E-2</v>
      </c>
      <c r="JR44" s="8"/>
      <c r="JS44" s="8"/>
      <c r="JT44" s="8"/>
      <c r="JU44" s="8"/>
      <c r="JV44" s="9"/>
    </row>
    <row r="45" spans="37:282" ht="16.5" x14ac:dyDescent="0.45">
      <c r="AK45" s="21"/>
      <c r="AL45" s="7">
        <v>5</v>
      </c>
      <c r="AM45" s="7">
        <f>+AM57</f>
        <v>5</v>
      </c>
      <c r="AN45" s="7">
        <f>BINOMDIST(AL45,$AM$4,$AN$32,FALSE)</f>
        <v>0.1744414317855108</v>
      </c>
      <c r="AO45" s="7">
        <f>+AN45*$AM$14</f>
        <v>6.6287744078494102</v>
      </c>
      <c r="AP45" s="7">
        <f>+(AM45-AO45)^2/AO45</f>
        <v>0.40021064354276098</v>
      </c>
      <c r="AQ45" s="8"/>
      <c r="AR45" s="7" t="s">
        <v>10</v>
      </c>
      <c r="AS45" s="7">
        <f>+AP47</f>
        <v>3.153483084157791</v>
      </c>
      <c r="AT45" s="7"/>
      <c r="AU45" s="9"/>
      <c r="AW45" s="21"/>
      <c r="AX45" s="8"/>
      <c r="AY45" s="8" t="s">
        <v>270</v>
      </c>
      <c r="AZ45" s="8"/>
      <c r="BA45" s="7"/>
      <c r="BB45" s="8"/>
      <c r="BC45" s="8"/>
      <c r="BD45" s="8"/>
      <c r="BE45" s="8"/>
      <c r="BF45" s="8"/>
      <c r="BG45" s="8"/>
      <c r="BH45" s="8"/>
      <c r="BI45" s="8"/>
      <c r="BJ45" s="9"/>
      <c r="BK45" s="8"/>
      <c r="BL45" s="21"/>
      <c r="BM45" s="8"/>
      <c r="BN45" s="8" t="s">
        <v>270</v>
      </c>
      <c r="BO45" s="8"/>
      <c r="BP45" s="7"/>
      <c r="BQ45" s="8"/>
      <c r="BR45" s="8"/>
      <c r="BS45" s="8" t="s">
        <v>76</v>
      </c>
      <c r="BT45" s="8">
        <f t="shared" ref="BT45:BT51" si="87">+$BO$38+BO46*$BO$43</f>
        <v>3.5805235694830668</v>
      </c>
      <c r="BU45" s="8"/>
      <c r="BV45" s="8"/>
      <c r="BW45" s="8"/>
      <c r="BX45" s="8"/>
      <c r="BY45" s="9"/>
      <c r="BZ45" s="8"/>
      <c r="CO45" s="27"/>
      <c r="EH45" s="52">
        <f t="shared" si="50"/>
        <v>40</v>
      </c>
      <c r="EI45" s="47">
        <v>4.36392555355269</v>
      </c>
      <c r="EJ45" s="47">
        <v>6.0987059795297682</v>
      </c>
      <c r="EK45" s="47">
        <f t="shared" si="36"/>
        <v>0.78</v>
      </c>
      <c r="EL45" s="47">
        <f t="shared" si="37"/>
        <v>0.8</v>
      </c>
      <c r="EM45" s="45">
        <f t="shared" si="38"/>
        <v>0.73094040761882029</v>
      </c>
      <c r="EN45" s="45">
        <f t="shared" si="39"/>
        <v>4.905959238117974E-2</v>
      </c>
      <c r="EO45" s="45">
        <f t="shared" si="40"/>
        <v>6.9059592381179757E-2</v>
      </c>
      <c r="EP45" s="8"/>
      <c r="EQ45" s="8"/>
      <c r="ER45" s="8"/>
      <c r="ES45" s="8"/>
      <c r="ET45" s="9"/>
      <c r="EV45" s="21">
        <f t="shared" si="41"/>
        <v>41</v>
      </c>
      <c r="EW45" s="25">
        <v>6.0846474651771132</v>
      </c>
      <c r="EX45" s="25">
        <v>6.302353211940499</v>
      </c>
      <c r="EY45" s="8">
        <f t="shared" si="8"/>
        <v>39.719656008056724</v>
      </c>
      <c r="EZ45" s="7"/>
      <c r="FA45" s="8"/>
      <c r="FB45" s="8"/>
      <c r="FC45" s="8"/>
      <c r="FD45" s="8"/>
      <c r="FE45" s="8"/>
      <c r="FF45" s="8"/>
      <c r="FG45" s="8"/>
      <c r="FH45" s="8"/>
      <c r="FI45" s="9"/>
      <c r="GK45" s="33"/>
      <c r="GL45" s="33"/>
      <c r="GM45" s="70">
        <f t="shared" si="86"/>
        <v>11</v>
      </c>
      <c r="GN45" s="45">
        <v>3.2099999999999997E-2</v>
      </c>
      <c r="GO45" s="70">
        <f t="shared" si="80"/>
        <v>14</v>
      </c>
      <c r="GP45" s="47">
        <f t="shared" si="81"/>
        <v>15.650802576274145</v>
      </c>
      <c r="GQ45" s="47">
        <f t="shared" si="82"/>
        <v>14.482502062164713</v>
      </c>
      <c r="GR45" s="47">
        <f t="shared" si="83"/>
        <v>1.1683005141094327</v>
      </c>
      <c r="GS45" s="45">
        <f t="shared" si="84"/>
        <v>3.7502446502912783E-2</v>
      </c>
      <c r="GT45" s="8"/>
      <c r="GU45" s="8"/>
      <c r="GV45" s="8"/>
      <c r="GW45" s="8"/>
      <c r="GX45" s="9"/>
      <c r="GZ45" s="21"/>
      <c r="HA45" s="8" t="s">
        <v>231</v>
      </c>
      <c r="HB45" s="26" t="s">
        <v>176</v>
      </c>
      <c r="HC45" s="93">
        <v>-1.96</v>
      </c>
      <c r="HD45" s="93" t="s">
        <v>163</v>
      </c>
      <c r="HE45" s="93">
        <v>1.96</v>
      </c>
      <c r="HF45" s="26" t="s">
        <v>177</v>
      </c>
      <c r="HG45" s="8"/>
      <c r="HH45" s="8"/>
      <c r="HI45" s="8"/>
      <c r="HJ45" s="8"/>
      <c r="HK45" s="8"/>
      <c r="HL45" s="9"/>
      <c r="HN45" s="21"/>
      <c r="HO45" s="31" t="s">
        <v>160</v>
      </c>
      <c r="HP45" s="8">
        <v>5</v>
      </c>
      <c r="HQ45" s="8"/>
      <c r="HR45" s="8"/>
      <c r="HS45" s="8"/>
      <c r="HT45" s="8"/>
      <c r="HU45" s="8"/>
      <c r="HV45" s="8"/>
      <c r="HW45" s="8"/>
      <c r="HX45" s="8"/>
      <c r="HY45" s="8"/>
      <c r="HZ45" s="9"/>
      <c r="IA45" s="8"/>
      <c r="IB45" s="22"/>
      <c r="IC45" s="17"/>
      <c r="ID45" s="17"/>
      <c r="IE45" s="17"/>
      <c r="IF45" s="17"/>
      <c r="IG45" s="17"/>
      <c r="IH45" s="17"/>
      <c r="II45" s="17"/>
      <c r="IJ45" s="18"/>
      <c r="IL45" s="22"/>
      <c r="IM45" s="17"/>
      <c r="IN45" s="17"/>
      <c r="IO45" s="17"/>
      <c r="IP45" s="17"/>
      <c r="IQ45" s="17"/>
      <c r="IR45" s="17"/>
      <c r="IS45" s="17"/>
      <c r="IT45" s="18"/>
      <c r="JO45" s="21"/>
      <c r="JP45" s="81" t="s">
        <v>219</v>
      </c>
      <c r="JQ45" s="8">
        <v>-1.96</v>
      </c>
      <c r="JR45" s="8"/>
      <c r="JS45" s="8"/>
      <c r="JT45" s="8"/>
      <c r="JU45" s="8"/>
      <c r="JV45" s="9"/>
    </row>
    <row r="46" spans="37:282" ht="16.5" x14ac:dyDescent="0.45">
      <c r="AK46" s="21"/>
      <c r="AL46" s="7" t="s">
        <v>260</v>
      </c>
      <c r="AM46" s="7">
        <v>7</v>
      </c>
      <c r="AN46" s="7">
        <f>1-BINOMDIST(AL45,$AM$4,$AN$32,TRUE)</f>
        <v>0.12195687636740515</v>
      </c>
      <c r="AO46" s="7">
        <f>+AN46*$AM$14</f>
        <v>4.6343613019613956</v>
      </c>
      <c r="AP46" s="7">
        <f>+(AM46-AO46)^2/AO46</f>
        <v>1.2075550620728017</v>
      </c>
      <c r="AQ46" s="8"/>
      <c r="AR46" s="8" t="s">
        <v>249</v>
      </c>
      <c r="AS46" s="8"/>
      <c r="AT46" s="8"/>
      <c r="AU46" s="9"/>
      <c r="AW46" s="21"/>
      <c r="AX46" s="8"/>
      <c r="AY46" s="8" t="s">
        <v>26</v>
      </c>
      <c r="AZ46" s="8">
        <f>NORMSINV(0.2)</f>
        <v>-0.84162123357291452</v>
      </c>
      <c r="BA46" s="7"/>
      <c r="BB46" s="8"/>
      <c r="BC46" s="8"/>
      <c r="BD46" s="8"/>
      <c r="BE46" s="8"/>
      <c r="BF46" s="8"/>
      <c r="BG46" s="8"/>
      <c r="BH46" s="8"/>
      <c r="BI46" s="8"/>
      <c r="BJ46" s="9"/>
      <c r="BK46" s="8"/>
      <c r="BL46" s="21"/>
      <c r="BM46" s="8"/>
      <c r="BN46" s="8" t="s">
        <v>70</v>
      </c>
      <c r="BO46" s="8">
        <f>NORMSINV(0.125)</f>
        <v>-1.1503493803760083</v>
      </c>
      <c r="BP46" s="7"/>
      <c r="BQ46" s="8"/>
      <c r="BR46" s="8"/>
      <c r="BS46" s="8" t="s">
        <v>77</v>
      </c>
      <c r="BT46" s="8">
        <f t="shared" si="87"/>
        <v>4.3379750576325034</v>
      </c>
      <c r="BU46" s="8"/>
      <c r="BV46" s="8"/>
      <c r="BW46" s="8"/>
      <c r="BX46" s="8"/>
      <c r="BY46" s="9"/>
      <c r="BZ46" s="8"/>
      <c r="CO46" s="27"/>
      <c r="EH46" s="52">
        <f t="shared" si="50"/>
        <v>41</v>
      </c>
      <c r="EI46" s="47">
        <v>6.0846474651771132</v>
      </c>
      <c r="EJ46" s="47">
        <v>6.302353211940499</v>
      </c>
      <c r="EK46" s="47">
        <f t="shared" si="36"/>
        <v>0.8</v>
      </c>
      <c r="EL46" s="47">
        <f t="shared" si="37"/>
        <v>0.82</v>
      </c>
      <c r="EM46" s="45">
        <f t="shared" si="38"/>
        <v>0.77376797404570186</v>
      </c>
      <c r="EN46" s="45">
        <f t="shared" si="39"/>
        <v>2.6232025954298188E-2</v>
      </c>
      <c r="EO46" s="45">
        <f t="shared" si="40"/>
        <v>4.6232025954298095E-2</v>
      </c>
      <c r="EP46" s="8"/>
      <c r="EQ46" s="8"/>
      <c r="ER46" s="8"/>
      <c r="ES46" s="8"/>
      <c r="ET46" s="9"/>
      <c r="EV46" s="21">
        <f t="shared" si="41"/>
        <v>42</v>
      </c>
      <c r="EW46" s="25">
        <v>5.0892691787157673</v>
      </c>
      <c r="EX46" s="25">
        <v>6.4118984381639166</v>
      </c>
      <c r="EY46" s="8">
        <f t="shared" si="8"/>
        <v>41.112441581328873</v>
      </c>
      <c r="EZ46" s="7"/>
      <c r="FA46" s="8"/>
      <c r="FB46" s="8"/>
      <c r="FC46" s="8"/>
      <c r="FD46" s="8"/>
      <c r="FE46" s="8"/>
      <c r="FF46" s="8"/>
      <c r="FG46" s="8"/>
      <c r="FH46" s="8"/>
      <c r="FI46" s="9"/>
      <c r="GK46" s="33"/>
      <c r="GL46" s="33"/>
      <c r="GM46" s="70">
        <f t="shared" si="86"/>
        <v>12</v>
      </c>
      <c r="GN46" s="45">
        <v>1.0699999999999999E-2</v>
      </c>
      <c r="GO46" s="70">
        <f t="shared" si="80"/>
        <v>13</v>
      </c>
      <c r="GP46" s="47">
        <f t="shared" si="81"/>
        <v>15.303380147670396</v>
      </c>
      <c r="GQ46" s="47">
        <f t="shared" si="82"/>
        <v>15.118898242362775</v>
      </c>
      <c r="GR46" s="47">
        <f t="shared" si="83"/>
        <v>0.18448190530762076</v>
      </c>
      <c r="GS46" s="45">
        <f t="shared" si="84"/>
        <v>1.9739563867915422E-3</v>
      </c>
      <c r="GT46" s="8"/>
      <c r="GU46" s="8"/>
      <c r="GV46" s="8"/>
      <c r="GW46" s="8"/>
      <c r="GX46" s="9"/>
      <c r="GZ46" s="21"/>
      <c r="HA46" s="8" t="s">
        <v>232</v>
      </c>
      <c r="HB46" s="80">
        <f>+HC45</f>
        <v>-1.96</v>
      </c>
      <c r="HC46" s="80">
        <f>+HE45</f>
        <v>1.96</v>
      </c>
      <c r="HD46" s="8"/>
      <c r="HE46" s="8"/>
      <c r="HF46" s="8"/>
      <c r="HG46" s="8"/>
      <c r="HH46" s="8"/>
      <c r="HI46" s="8"/>
      <c r="HJ46" s="8"/>
      <c r="HK46" s="8"/>
      <c r="HL46" s="9"/>
      <c r="HN46" s="21"/>
      <c r="HO46" s="31" t="s">
        <v>161</v>
      </c>
      <c r="HP46" s="8">
        <v>7</v>
      </c>
      <c r="HQ46" s="8"/>
      <c r="HR46" s="8"/>
      <c r="HS46" s="8"/>
      <c r="HT46" s="8"/>
      <c r="HU46" s="8"/>
      <c r="HV46" s="8"/>
      <c r="HW46" s="8"/>
      <c r="HX46" s="8"/>
      <c r="HY46" s="8"/>
      <c r="HZ46" s="9"/>
      <c r="IA46" s="8"/>
      <c r="JO46" s="21"/>
      <c r="JP46" s="8"/>
      <c r="JQ46" s="8"/>
      <c r="JR46" s="8"/>
      <c r="JS46" s="8"/>
      <c r="JT46" s="8"/>
      <c r="JU46" s="8"/>
      <c r="JV46" s="9"/>
    </row>
    <row r="47" spans="37:282" ht="16.5" x14ac:dyDescent="0.45">
      <c r="AK47" s="21"/>
      <c r="AL47" s="7"/>
      <c r="AM47" s="7">
        <f>SUM(AM42:AM46)</f>
        <v>38</v>
      </c>
      <c r="AN47" s="7">
        <f>SUM(AN42:AN46)</f>
        <v>1</v>
      </c>
      <c r="AO47" s="7">
        <f>SUM(AO42:AO46)</f>
        <v>38.000000000000007</v>
      </c>
      <c r="AP47" s="7">
        <f>SUM(AP42:AP46)</f>
        <v>3.153483084157791</v>
      </c>
      <c r="AQ47" s="8"/>
      <c r="AR47" s="8"/>
      <c r="AS47" s="8"/>
      <c r="AT47" s="8"/>
      <c r="AU47" s="9"/>
      <c r="AW47" s="21"/>
      <c r="AX47" s="8"/>
      <c r="AY47" s="8" t="s">
        <v>27</v>
      </c>
      <c r="AZ47" s="8">
        <f>NORMSINV(0.4)</f>
        <v>-0.25334710313579978</v>
      </c>
      <c r="BA47" s="7"/>
      <c r="BB47" s="8"/>
      <c r="BC47" s="8"/>
      <c r="BD47" s="8"/>
      <c r="BE47" s="8"/>
      <c r="BF47" s="8"/>
      <c r="BG47" s="8"/>
      <c r="BH47" s="8"/>
      <c r="BI47" s="8"/>
      <c r="BJ47" s="9"/>
      <c r="BK47" s="8"/>
      <c r="BL47" s="21"/>
      <c r="BM47" s="8"/>
      <c r="BN47" s="8" t="s">
        <v>71</v>
      </c>
      <c r="BO47" s="8">
        <f>NORMSINV(0.25)</f>
        <v>-0.67448975019608193</v>
      </c>
      <c r="BP47" s="7"/>
      <c r="BQ47" s="8"/>
      <c r="BR47" s="8"/>
      <c r="BS47" s="8" t="s">
        <v>78</v>
      </c>
      <c r="BT47" s="8">
        <f t="shared" si="87"/>
        <v>4.9044013470570604</v>
      </c>
      <c r="BU47" s="8"/>
      <c r="BV47" s="8"/>
      <c r="BW47" s="8"/>
      <c r="BX47" s="8"/>
      <c r="BY47" s="9"/>
      <c r="BZ47" s="8"/>
      <c r="CO47" s="27"/>
      <c r="EH47" s="52">
        <f t="shared" si="50"/>
        <v>42</v>
      </c>
      <c r="EI47" s="47">
        <v>5.0892691787157673</v>
      </c>
      <c r="EJ47" s="47">
        <v>6.4118984381639166</v>
      </c>
      <c r="EK47" s="47">
        <f t="shared" si="36"/>
        <v>0.82</v>
      </c>
      <c r="EL47" s="47">
        <f t="shared" si="37"/>
        <v>0.84</v>
      </c>
      <c r="EM47" s="45">
        <f t="shared" si="38"/>
        <v>0.79511085369524337</v>
      </c>
      <c r="EN47" s="45">
        <f t="shared" si="39"/>
        <v>2.4889146304756582E-2</v>
      </c>
      <c r="EO47" s="45">
        <f t="shared" si="40"/>
        <v>4.48891463047566E-2</v>
      </c>
      <c r="EP47" s="8"/>
      <c r="EQ47" s="8"/>
      <c r="ER47" s="8"/>
      <c r="ES47" s="8"/>
      <c r="ET47" s="9"/>
      <c r="EV47" s="21">
        <f t="shared" si="41"/>
        <v>43</v>
      </c>
      <c r="EW47" s="25">
        <v>6.6283968307106989</v>
      </c>
      <c r="EX47" s="25">
        <v>6.5096156857907772</v>
      </c>
      <c r="EY47" s="8">
        <f t="shared" si="8"/>
        <v>42.375096376693328</v>
      </c>
      <c r="EZ47" s="7"/>
      <c r="FA47" s="8"/>
      <c r="FB47" s="8"/>
      <c r="FC47" s="8"/>
      <c r="FD47" s="8"/>
      <c r="FE47" s="8"/>
      <c r="FF47" s="8"/>
      <c r="FG47" s="8"/>
      <c r="FH47" s="8"/>
      <c r="FI47" s="9"/>
      <c r="GK47" s="33"/>
      <c r="GL47" s="33" t="s">
        <v>16</v>
      </c>
      <c r="GM47" s="33"/>
      <c r="GN47" s="33"/>
      <c r="GO47" s="33"/>
      <c r="GP47" s="33"/>
      <c r="GQ47" s="33"/>
      <c r="GR47" s="33"/>
      <c r="GS47" s="45">
        <f>SUM(GS35:GS46)</f>
        <v>17.356809263674222</v>
      </c>
      <c r="GT47" s="8"/>
      <c r="GU47" s="8"/>
      <c r="GV47" s="8"/>
      <c r="GW47" s="8"/>
      <c r="GX47" s="9"/>
      <c r="GZ47" s="21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9"/>
      <c r="HN47" s="21"/>
      <c r="HO47" s="31" t="s">
        <v>162</v>
      </c>
      <c r="HP47" s="8">
        <v>17</v>
      </c>
      <c r="HQ47" s="8"/>
      <c r="HR47" s="8"/>
      <c r="HS47" s="8"/>
      <c r="HT47" s="8"/>
      <c r="HU47" s="8"/>
      <c r="HV47" s="8"/>
      <c r="HW47" s="8"/>
      <c r="HX47" s="8"/>
      <c r="HY47" s="8"/>
      <c r="HZ47" s="9"/>
      <c r="IA47" s="8"/>
      <c r="JO47" s="21"/>
      <c r="JP47" s="8" t="s">
        <v>231</v>
      </c>
      <c r="JQ47" s="89" t="s">
        <v>176</v>
      </c>
      <c r="JR47" s="8">
        <f>+JQ45</f>
        <v>-1.96</v>
      </c>
      <c r="JS47" s="8"/>
      <c r="JT47" s="8"/>
      <c r="JU47" s="8"/>
      <c r="JV47" s="9"/>
    </row>
    <row r="48" spans="37:282" ht="16.5" x14ac:dyDescent="0.45">
      <c r="AK48" s="21"/>
      <c r="AL48" s="7"/>
      <c r="AM48" s="7"/>
      <c r="AN48" s="7"/>
      <c r="AO48" s="7"/>
      <c r="AP48" s="7"/>
      <c r="AQ48" s="8"/>
      <c r="AR48" s="19" t="s">
        <v>234</v>
      </c>
      <c r="AS48" s="8">
        <f>CHIDIST(AS45,AS40)</f>
        <v>0.36856109397651521</v>
      </c>
      <c r="AT48" s="8"/>
      <c r="AU48" s="9"/>
      <c r="AW48" s="21"/>
      <c r="AX48" s="8"/>
      <c r="AY48" s="8" t="s">
        <v>28</v>
      </c>
      <c r="AZ48" s="8">
        <f>NORMSINV(0.6)</f>
        <v>0.25334710313579978</v>
      </c>
      <c r="BA48" s="7"/>
      <c r="BB48" s="8"/>
      <c r="BC48" s="8"/>
      <c r="BD48" s="8"/>
      <c r="BE48" s="8"/>
      <c r="BF48" s="8"/>
      <c r="BG48" s="8"/>
      <c r="BH48" s="8"/>
      <c r="BI48" s="8"/>
      <c r="BJ48" s="9"/>
      <c r="BK48" s="8"/>
      <c r="BL48" s="21"/>
      <c r="BM48" s="8"/>
      <c r="BN48" s="8" t="s">
        <v>72</v>
      </c>
      <c r="BO48" s="8">
        <f>NORMSINV(0.375)</f>
        <v>-0.3186393639643752</v>
      </c>
      <c r="BP48" s="7"/>
      <c r="BQ48" s="8"/>
      <c r="BR48" s="8"/>
      <c r="BS48" s="50" t="s">
        <v>24</v>
      </c>
      <c r="BT48" s="8">
        <f t="shared" si="87"/>
        <v>5.4115968415068592</v>
      </c>
      <c r="BU48" s="8"/>
      <c r="BV48" s="8"/>
      <c r="BW48" s="8"/>
      <c r="BX48" s="8"/>
      <c r="BY48" s="9"/>
      <c r="BZ48" s="8"/>
      <c r="CO48" s="27"/>
      <c r="EH48" s="52">
        <f t="shared" si="50"/>
        <v>43</v>
      </c>
      <c r="EI48" s="47">
        <v>6.6283968307106989</v>
      </c>
      <c r="EJ48" s="47">
        <v>6.5096156857907772</v>
      </c>
      <c r="EK48" s="47">
        <f t="shared" si="36"/>
        <v>0.84</v>
      </c>
      <c r="EL48" s="47">
        <f t="shared" si="37"/>
        <v>0.86</v>
      </c>
      <c r="EM48" s="45">
        <f t="shared" si="38"/>
        <v>0.81309932098625293</v>
      </c>
      <c r="EN48" s="45">
        <f t="shared" si="39"/>
        <v>2.6900679013747042E-2</v>
      </c>
      <c r="EO48" s="45">
        <f t="shared" si="40"/>
        <v>4.690067901374706E-2</v>
      </c>
      <c r="EP48" s="8"/>
      <c r="EQ48" s="8"/>
      <c r="ER48" s="8"/>
      <c r="ES48" s="8"/>
      <c r="ET48" s="9"/>
      <c r="EV48" s="21">
        <f t="shared" si="41"/>
        <v>44</v>
      </c>
      <c r="EW48" s="25">
        <v>3.9857064974785317</v>
      </c>
      <c r="EX48" s="25">
        <v>6.5351577076216927</v>
      </c>
      <c r="EY48" s="8">
        <f t="shared" si="8"/>
        <v>42.708286263487217</v>
      </c>
      <c r="EZ48" s="7"/>
      <c r="FA48" s="8"/>
      <c r="FB48" s="8"/>
      <c r="FC48" s="8"/>
      <c r="FD48" s="8"/>
      <c r="FE48" s="8"/>
      <c r="FF48" s="8"/>
      <c r="FG48" s="8"/>
      <c r="FH48" s="8"/>
      <c r="FI48" s="9"/>
      <c r="GK48" s="22"/>
      <c r="GL48" s="17"/>
      <c r="GM48" s="17"/>
      <c r="GN48" s="17"/>
      <c r="GO48" s="17"/>
      <c r="GP48" s="17"/>
      <c r="GQ48" s="17"/>
      <c r="GR48" s="17"/>
      <c r="GS48" s="17"/>
      <c r="GT48" s="17"/>
      <c r="GU48" s="17"/>
      <c r="GV48" s="17"/>
      <c r="GW48" s="17"/>
      <c r="GX48" s="18"/>
      <c r="GZ48" s="21"/>
      <c r="HA48" s="8" t="s">
        <v>178</v>
      </c>
      <c r="HB48" s="8">
        <v>7</v>
      </c>
      <c r="HC48" s="8"/>
      <c r="HD48" s="8"/>
      <c r="HE48" s="8"/>
      <c r="HF48" s="8"/>
      <c r="HG48" s="8"/>
      <c r="HH48" s="8"/>
      <c r="HI48" s="8"/>
      <c r="HJ48" s="8"/>
      <c r="HK48" s="8"/>
      <c r="HL48" s="9"/>
      <c r="HN48" s="21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9"/>
      <c r="IA48" s="8"/>
      <c r="JO48" s="21"/>
      <c r="JP48" s="8" t="s">
        <v>232</v>
      </c>
      <c r="JQ48" s="14">
        <v>-1.96</v>
      </c>
      <c r="JR48" s="84" t="s">
        <v>177</v>
      </c>
      <c r="JS48" s="8"/>
      <c r="JT48" s="8"/>
      <c r="JU48" s="8"/>
      <c r="JV48" s="9"/>
    </row>
    <row r="49" spans="37:282" ht="16.5" x14ac:dyDescent="0.45">
      <c r="AK49" s="21"/>
      <c r="AL49" s="7"/>
      <c r="AM49" s="7"/>
      <c r="AN49" s="7"/>
      <c r="AO49" s="7"/>
      <c r="AP49" s="7"/>
      <c r="AQ49" s="8"/>
      <c r="AR49" s="19" t="s">
        <v>253</v>
      </c>
      <c r="AS49" s="8" t="s">
        <v>254</v>
      </c>
      <c r="AT49" s="8"/>
      <c r="AU49" s="9"/>
      <c r="AW49" s="21"/>
      <c r="AX49" s="8"/>
      <c r="AY49" s="8" t="s">
        <v>29</v>
      </c>
      <c r="AZ49" s="8">
        <f>NORMSINV(0.8)</f>
        <v>0.84162123357291474</v>
      </c>
      <c r="BA49" s="7"/>
      <c r="BB49" s="8"/>
      <c r="BC49" s="8"/>
      <c r="BD49" s="8"/>
      <c r="BE49" s="8"/>
      <c r="BF49" s="8"/>
      <c r="BG49" s="8"/>
      <c r="BH49" s="8"/>
      <c r="BI49" s="8"/>
      <c r="BJ49" s="9"/>
      <c r="BK49" s="8"/>
      <c r="BL49" s="21"/>
      <c r="BM49" s="8"/>
      <c r="BN49" s="8" t="s">
        <v>64</v>
      </c>
      <c r="BO49" s="8">
        <f>NORMSINV(0.5)</f>
        <v>0</v>
      </c>
      <c r="BP49" s="7"/>
      <c r="BQ49" s="8"/>
      <c r="BR49" s="8"/>
      <c r="BS49" s="8" t="s">
        <v>79</v>
      </c>
      <c r="BT49" s="8">
        <f t="shared" si="87"/>
        <v>5.9187923359566579</v>
      </c>
      <c r="BU49" s="8"/>
      <c r="BV49" s="8"/>
      <c r="BW49" s="8"/>
      <c r="BX49" s="8"/>
      <c r="BY49" s="9"/>
      <c r="BZ49" s="8"/>
      <c r="EH49" s="52">
        <f t="shared" si="50"/>
        <v>44</v>
      </c>
      <c r="EI49" s="47">
        <v>3.9857064974785317</v>
      </c>
      <c r="EJ49" s="47">
        <v>6.5351577076216927</v>
      </c>
      <c r="EK49" s="47">
        <f t="shared" si="36"/>
        <v>0.86</v>
      </c>
      <c r="EL49" s="47">
        <f t="shared" si="37"/>
        <v>0.88</v>
      </c>
      <c r="EM49" s="45">
        <f t="shared" si="38"/>
        <v>0.81763513443420632</v>
      </c>
      <c r="EN49" s="45">
        <f t="shared" si="39"/>
        <v>4.2364865565793663E-2</v>
      </c>
      <c r="EO49" s="45">
        <f t="shared" si="40"/>
        <v>6.2364865565793681E-2</v>
      </c>
      <c r="EP49" s="8"/>
      <c r="EQ49" s="8"/>
      <c r="ER49" s="8"/>
      <c r="ES49" s="8"/>
      <c r="ET49" s="9"/>
      <c r="EV49" s="21">
        <f t="shared" si="41"/>
        <v>45</v>
      </c>
      <c r="EW49" s="25">
        <v>5.6325615231617121</v>
      </c>
      <c r="EX49" s="25">
        <v>6.6283968307106989</v>
      </c>
      <c r="EY49" s="8">
        <f t="shared" si="8"/>
        <v>43.935644545375638</v>
      </c>
      <c r="EZ49" s="7"/>
      <c r="FA49" s="8"/>
      <c r="FB49" s="8"/>
      <c r="FC49" s="8"/>
      <c r="FD49" s="8"/>
      <c r="FE49" s="8"/>
      <c r="FF49" s="8"/>
      <c r="FG49" s="8"/>
      <c r="FH49" s="8"/>
      <c r="FI49" s="9"/>
      <c r="GZ49" s="21"/>
      <c r="HA49" s="8" t="s">
        <v>179</v>
      </c>
      <c r="HB49" s="8">
        <f>+(HB48-(2*HB32*HB33/HB34+1))/(SQRT(2*HB32*HB33*(2*HB32*HB33-HB34)/+(HB34^2*(HB34-1))))</f>
        <v>-3.5527994575322306</v>
      </c>
      <c r="HC49" s="8"/>
      <c r="HD49" s="8"/>
      <c r="HE49" s="8"/>
      <c r="HF49" s="8"/>
      <c r="HG49" s="8"/>
      <c r="HH49" s="8"/>
      <c r="HI49" s="8"/>
      <c r="HJ49" s="8"/>
      <c r="HK49" s="8"/>
      <c r="HL49" s="9"/>
      <c r="HN49" s="21"/>
      <c r="HO49" s="8" t="s">
        <v>231</v>
      </c>
      <c r="HP49" s="93" t="s">
        <v>364</v>
      </c>
      <c r="HQ49" s="93" t="s">
        <v>163</v>
      </c>
      <c r="HR49" s="93" t="s">
        <v>365</v>
      </c>
      <c r="HS49" s="8"/>
      <c r="HT49" s="8"/>
      <c r="HU49" s="8"/>
      <c r="HV49" s="8"/>
      <c r="HW49" s="8"/>
      <c r="HX49" s="8"/>
      <c r="HY49" s="8"/>
      <c r="HZ49" s="9"/>
      <c r="IA49" s="8"/>
      <c r="JO49" s="21"/>
      <c r="JP49" s="8"/>
      <c r="JQ49" s="8"/>
      <c r="JR49" s="8"/>
      <c r="JS49" s="8"/>
      <c r="JT49" s="8"/>
      <c r="JU49" s="8"/>
      <c r="JV49" s="9"/>
    </row>
    <row r="50" spans="37:282" ht="16.5" x14ac:dyDescent="0.45">
      <c r="AK50" s="21"/>
      <c r="AL50" s="14" t="s">
        <v>235</v>
      </c>
      <c r="AM50" s="7"/>
      <c r="AN50" s="7"/>
      <c r="AO50" s="7"/>
      <c r="AP50" s="7"/>
      <c r="AQ50" s="8"/>
      <c r="AR50" s="8"/>
      <c r="AS50" s="8"/>
      <c r="AT50" s="8"/>
      <c r="AU50" s="9"/>
      <c r="AW50" s="21"/>
      <c r="AX50" s="8"/>
      <c r="AY50" s="8" t="s">
        <v>271</v>
      </c>
      <c r="AZ50" s="8"/>
      <c r="BA50" s="7"/>
      <c r="BB50" s="8"/>
      <c r="BC50" s="8"/>
      <c r="BD50" s="8"/>
      <c r="BE50" s="8"/>
      <c r="BF50" s="8"/>
      <c r="BG50" s="8"/>
      <c r="BH50" s="8"/>
      <c r="BI50" s="8"/>
      <c r="BJ50" s="9"/>
      <c r="BK50" s="8"/>
      <c r="BL50" s="21"/>
      <c r="BM50" s="8"/>
      <c r="BN50" s="8" t="s">
        <v>73</v>
      </c>
      <c r="BO50" s="8">
        <f>NORMSINV(0.625)</f>
        <v>0.3186393639643752</v>
      </c>
      <c r="BP50" s="7"/>
      <c r="BQ50" s="8"/>
      <c r="BR50" s="8"/>
      <c r="BS50" s="8" t="s">
        <v>80</v>
      </c>
      <c r="BT50" s="8">
        <f t="shared" si="87"/>
        <v>6.485218625381215</v>
      </c>
      <c r="BU50" s="8"/>
      <c r="BV50" s="8"/>
      <c r="BW50" s="8"/>
      <c r="BX50" s="8"/>
      <c r="BY50" s="9"/>
      <c r="BZ50" s="8"/>
      <c r="EH50" s="52">
        <f t="shared" si="50"/>
        <v>45</v>
      </c>
      <c r="EI50" s="47">
        <v>5.6325615231617121</v>
      </c>
      <c r="EJ50" s="47">
        <v>6.6283968307106989</v>
      </c>
      <c r="EK50" s="47">
        <f t="shared" si="36"/>
        <v>0.88</v>
      </c>
      <c r="EL50" s="47">
        <f t="shared" si="37"/>
        <v>0.9</v>
      </c>
      <c r="EM50" s="45">
        <f t="shared" si="38"/>
        <v>0.83360216018284172</v>
      </c>
      <c r="EN50" s="45">
        <f t="shared" si="39"/>
        <v>4.6397839817158282E-2</v>
      </c>
      <c r="EO50" s="45">
        <f t="shared" si="40"/>
        <v>6.63978398171583E-2</v>
      </c>
      <c r="EP50" s="8"/>
      <c r="EQ50" s="8"/>
      <c r="ER50" s="8"/>
      <c r="ES50" s="8"/>
      <c r="ET50" s="9"/>
      <c r="EV50" s="21">
        <f t="shared" si="41"/>
        <v>46</v>
      </c>
      <c r="EW50" s="25">
        <v>6.5096156857907772</v>
      </c>
      <c r="EX50" s="25">
        <v>6.6404464986408129</v>
      </c>
      <c r="EY50" s="8">
        <f t="shared" si="8"/>
        <v>44.09552970131103</v>
      </c>
      <c r="EZ50" s="7"/>
      <c r="FA50" s="8"/>
      <c r="FB50" s="8"/>
      <c r="FC50" s="8"/>
      <c r="FD50" s="8"/>
      <c r="FE50" s="8"/>
      <c r="FF50" s="8"/>
      <c r="FG50" s="8"/>
      <c r="FH50" s="8"/>
      <c r="FI50" s="9"/>
      <c r="GZ50" s="21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9"/>
      <c r="HN50" s="21"/>
      <c r="HO50" s="8" t="s">
        <v>232</v>
      </c>
      <c r="HP50" s="80" t="s">
        <v>366</v>
      </c>
      <c r="HQ50" s="80" t="s">
        <v>367</v>
      </c>
      <c r="HR50" s="8"/>
      <c r="HS50" s="8"/>
      <c r="HT50" s="8"/>
      <c r="HU50" s="8"/>
      <c r="HV50" s="8"/>
      <c r="HW50" s="8"/>
      <c r="HX50" s="8"/>
      <c r="HY50" s="8"/>
      <c r="HZ50" s="9"/>
      <c r="IA50" s="8"/>
      <c r="JO50" s="21"/>
      <c r="JP50" s="8" t="s">
        <v>179</v>
      </c>
      <c r="JQ50" s="28">
        <f>+(JQ39-JQ40)/JQ42</f>
        <v>-2.7829682208765663</v>
      </c>
      <c r="JR50" s="31" t="s">
        <v>351</v>
      </c>
      <c r="JS50" s="8"/>
      <c r="JT50" s="8"/>
      <c r="JU50" s="8"/>
      <c r="JV50" s="9"/>
    </row>
    <row r="51" spans="37:282" ht="16.5" x14ac:dyDescent="0.45">
      <c r="AK51" s="21"/>
      <c r="AL51" s="7" t="s">
        <v>3</v>
      </c>
      <c r="AM51" s="7" t="s">
        <v>4</v>
      </c>
      <c r="AN51" s="7" t="s">
        <v>5</v>
      </c>
      <c r="AO51" s="7"/>
      <c r="AP51" s="7"/>
      <c r="AQ51" s="8"/>
      <c r="AR51" s="8"/>
      <c r="AS51" s="8"/>
      <c r="AT51" s="8"/>
      <c r="AU51" s="9"/>
      <c r="AW51" s="21"/>
      <c r="AX51" s="8"/>
      <c r="AY51" s="8" t="s">
        <v>33</v>
      </c>
      <c r="AZ51" s="8">
        <f>+$AZ$38+AZ46*$AZ$43</f>
        <v>4.0719428439888734</v>
      </c>
      <c r="BA51" s="7"/>
      <c r="BB51" s="8"/>
      <c r="BC51" s="8"/>
      <c r="BD51" s="8"/>
      <c r="BE51" s="8"/>
      <c r="BF51" s="8"/>
      <c r="BG51" s="8"/>
      <c r="BH51" s="8"/>
      <c r="BI51" s="8"/>
      <c r="BJ51" s="9"/>
      <c r="BK51" s="8"/>
      <c r="BL51" s="21"/>
      <c r="BM51" s="8"/>
      <c r="BN51" s="8" t="s">
        <v>74</v>
      </c>
      <c r="BO51" s="8">
        <f>NORMSINV(0.75)</f>
        <v>0.67448975019608193</v>
      </c>
      <c r="BP51" s="7"/>
      <c r="BQ51" s="8"/>
      <c r="BR51" s="8"/>
      <c r="BS51" s="8" t="s">
        <v>81</v>
      </c>
      <c r="BT51" s="8">
        <f t="shared" si="87"/>
        <v>7.2426701135306519</v>
      </c>
      <c r="BU51" s="8"/>
      <c r="BV51" s="8"/>
      <c r="BW51" s="8"/>
      <c r="BX51" s="8"/>
      <c r="BY51" s="9"/>
      <c r="BZ51" s="8"/>
      <c r="EH51" s="52">
        <f t="shared" si="50"/>
        <v>46</v>
      </c>
      <c r="EI51" s="47">
        <v>6.5096156857907772</v>
      </c>
      <c r="EJ51" s="47">
        <v>6.6404464986408129</v>
      </c>
      <c r="EK51" s="47">
        <f t="shared" si="36"/>
        <v>0.9</v>
      </c>
      <c r="EL51" s="47">
        <f t="shared" si="37"/>
        <v>0.92</v>
      </c>
      <c r="EM51" s="45">
        <f t="shared" si="38"/>
        <v>0.83559772277050259</v>
      </c>
      <c r="EN51" s="45">
        <f t="shared" si="39"/>
        <v>6.4402277229497429E-2</v>
      </c>
      <c r="EO51" s="45">
        <f t="shared" si="40"/>
        <v>8.4402277229497447E-2</v>
      </c>
      <c r="EP51" s="8"/>
      <c r="EQ51" s="8"/>
      <c r="ER51" s="8"/>
      <c r="ES51" s="8"/>
      <c r="ET51" s="9"/>
      <c r="EV51" s="21">
        <f t="shared" si="41"/>
        <v>47</v>
      </c>
      <c r="EW51" s="25">
        <v>2.7594711708661634</v>
      </c>
      <c r="EX51" s="25">
        <v>7.3745997168589383</v>
      </c>
      <c r="EY51" s="8">
        <f t="shared" si="8"/>
        <v>54.384720983895932</v>
      </c>
      <c r="EZ51" s="7"/>
      <c r="FA51" s="8"/>
      <c r="FB51" s="8"/>
      <c r="FC51" s="8"/>
      <c r="FD51" s="8"/>
      <c r="FE51" s="8"/>
      <c r="FF51" s="8"/>
      <c r="FG51" s="8"/>
      <c r="FH51" s="8"/>
      <c r="FI51" s="9"/>
      <c r="GL51" t="s">
        <v>118</v>
      </c>
      <c r="GZ51" s="21"/>
      <c r="HA51" s="8" t="s">
        <v>308</v>
      </c>
      <c r="HB51" s="8" t="s">
        <v>285</v>
      </c>
      <c r="HC51" s="8"/>
      <c r="HD51" s="8"/>
      <c r="HE51" s="8"/>
      <c r="HF51" s="8"/>
      <c r="HG51" s="8"/>
      <c r="HH51" s="8"/>
      <c r="HI51" s="8"/>
      <c r="HJ51" s="8"/>
      <c r="HK51" s="8"/>
      <c r="HL51" s="9"/>
      <c r="HN51" s="21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9"/>
      <c r="IA51" s="8"/>
      <c r="JO51" s="21"/>
      <c r="JP51" s="8"/>
      <c r="JQ51" s="8"/>
      <c r="JR51" s="8"/>
      <c r="JS51" s="8"/>
      <c r="JT51" s="8"/>
      <c r="JU51" s="8"/>
      <c r="JV51" s="9"/>
    </row>
    <row r="52" spans="37:282" ht="17" thickBot="1" x14ac:dyDescent="0.5">
      <c r="AK52" s="21"/>
      <c r="AL52" s="7">
        <v>0</v>
      </c>
      <c r="AM52" s="7">
        <v>2</v>
      </c>
      <c r="AN52" s="7">
        <f>+AL52*AM52</f>
        <v>0</v>
      </c>
      <c r="AO52" s="7"/>
      <c r="AP52" s="7"/>
      <c r="AQ52" s="8"/>
      <c r="AR52" s="8"/>
      <c r="AS52" s="8"/>
      <c r="AT52" s="8"/>
      <c r="AU52" s="9"/>
      <c r="AW52" s="21"/>
      <c r="AX52" s="8"/>
      <c r="AY52" s="8" t="s">
        <v>34</v>
      </c>
      <c r="AZ52" s="8">
        <f>+$AZ$38+AZ47*$AZ$43</f>
        <v>5.0083305669207965</v>
      </c>
      <c r="BA52" s="7"/>
      <c r="BB52" s="8"/>
      <c r="BC52" s="8"/>
      <c r="BD52" s="8"/>
      <c r="BE52" s="8"/>
      <c r="BF52" s="8"/>
      <c r="BG52" s="8"/>
      <c r="BH52" s="8"/>
      <c r="BI52" s="8"/>
      <c r="BJ52" s="9"/>
      <c r="BK52" s="8"/>
      <c r="BL52" s="21"/>
      <c r="BM52" s="8"/>
      <c r="BN52" s="8" t="s">
        <v>75</v>
      </c>
      <c r="BO52" s="8">
        <f>NORMSINV(0.875)</f>
        <v>1.1503493803760083</v>
      </c>
      <c r="BP52" s="7"/>
      <c r="BQ52" s="8"/>
      <c r="BR52" s="8"/>
      <c r="BS52" s="8"/>
      <c r="BT52" s="8"/>
      <c r="BU52" s="8"/>
      <c r="BV52" s="8"/>
      <c r="BW52" s="8"/>
      <c r="BX52" s="8"/>
      <c r="BY52" s="9"/>
      <c r="BZ52" s="8"/>
      <c r="EH52" s="52">
        <f t="shared" si="50"/>
        <v>47</v>
      </c>
      <c r="EI52" s="47">
        <v>2.7594711708661634</v>
      </c>
      <c r="EJ52" s="47">
        <v>7.3745997168589383</v>
      </c>
      <c r="EK52" s="47">
        <f t="shared" si="36"/>
        <v>0.92</v>
      </c>
      <c r="EL52" s="47">
        <f t="shared" si="37"/>
        <v>0.94</v>
      </c>
      <c r="EM52" s="45">
        <f t="shared" si="38"/>
        <v>0.92861587934577128</v>
      </c>
      <c r="EN52" s="45">
        <f t="shared" si="39"/>
        <v>8.6158793457712379E-3</v>
      </c>
      <c r="EO52" s="45">
        <f t="shared" si="40"/>
        <v>1.1384120654228669E-2</v>
      </c>
      <c r="EP52" s="8"/>
      <c r="EQ52" s="8"/>
      <c r="ER52" s="8"/>
      <c r="ES52" s="8"/>
      <c r="ET52" s="9"/>
      <c r="EV52" s="21">
        <f t="shared" si="41"/>
        <v>48</v>
      </c>
      <c r="EW52" s="25">
        <v>5.08674021501065</v>
      </c>
      <c r="EX52" s="25">
        <v>7.9108696253388189</v>
      </c>
      <c r="EY52" s="8">
        <f t="shared" si="8"/>
        <v>62.581858229108342</v>
      </c>
      <c r="EZ52" s="7"/>
      <c r="FA52" s="8"/>
      <c r="FB52" s="8"/>
      <c r="FC52" s="8"/>
      <c r="FD52" s="8"/>
      <c r="FE52" s="8"/>
      <c r="FF52" s="8"/>
      <c r="FG52" s="8"/>
      <c r="FH52" s="8"/>
      <c r="FI52" s="9"/>
      <c r="GZ52" s="22"/>
      <c r="HA52" s="17"/>
      <c r="HB52" s="17"/>
      <c r="HC52" s="17"/>
      <c r="HD52" s="17"/>
      <c r="HE52" s="17"/>
      <c r="HF52" s="17"/>
      <c r="HG52" s="17"/>
      <c r="HH52" s="17"/>
      <c r="HI52" s="17"/>
      <c r="HJ52" s="17"/>
      <c r="HK52" s="17"/>
      <c r="HL52" s="18"/>
      <c r="HN52" s="21"/>
      <c r="HO52" s="8" t="s">
        <v>368</v>
      </c>
      <c r="HP52" s="8" t="s">
        <v>254</v>
      </c>
      <c r="HQ52" s="8"/>
      <c r="HR52" s="8"/>
      <c r="HS52" s="8"/>
      <c r="HT52" s="8"/>
      <c r="HU52" s="8"/>
      <c r="HV52" s="8"/>
      <c r="HW52" s="8"/>
      <c r="HX52" s="8"/>
      <c r="HY52" s="8"/>
      <c r="HZ52" s="9"/>
      <c r="IA52" s="8"/>
      <c r="JO52" s="21"/>
      <c r="JP52" s="8" t="s">
        <v>234</v>
      </c>
      <c r="JQ52" s="8" t="s">
        <v>221</v>
      </c>
      <c r="JR52" s="90">
        <f>2*_xlfn.NORM.S.DIST(JQ50,TRUE)</f>
        <v>5.3864081796118546E-3</v>
      </c>
      <c r="JS52" s="8" t="s">
        <v>333</v>
      </c>
      <c r="JT52" s="8"/>
      <c r="JU52" s="8"/>
      <c r="JV52" s="9"/>
    </row>
    <row r="53" spans="37:282" ht="16.5" x14ac:dyDescent="0.45">
      <c r="AK53" s="21"/>
      <c r="AL53" s="7">
        <v>1</v>
      </c>
      <c r="AM53" s="7">
        <v>4</v>
      </c>
      <c r="AN53" s="7">
        <f t="shared" ref="AN53:AN62" si="88">+AL53*AM53</f>
        <v>4</v>
      </c>
      <c r="AO53" s="7"/>
      <c r="AP53" s="7"/>
      <c r="AQ53" s="8"/>
      <c r="AR53" s="8"/>
      <c r="AS53" s="8"/>
      <c r="AT53" s="8"/>
      <c r="AU53" s="9"/>
      <c r="AW53" s="21"/>
      <c r="AX53" s="8"/>
      <c r="AY53" s="8" t="s">
        <v>35</v>
      </c>
      <c r="AZ53" s="8">
        <f>+$AZ$38+AZ48*$AZ$43</f>
        <v>5.8148631160929218</v>
      </c>
      <c r="BA53" s="7"/>
      <c r="BB53" s="8"/>
      <c r="BC53" s="8"/>
      <c r="BD53" s="8"/>
      <c r="BE53" s="8"/>
      <c r="BF53" s="8"/>
      <c r="BG53" s="8"/>
      <c r="BH53" s="8"/>
      <c r="BI53" s="8"/>
      <c r="BJ53" s="9"/>
      <c r="BK53" s="8"/>
      <c r="BL53" s="21"/>
      <c r="BM53" s="8"/>
      <c r="BN53" s="8"/>
      <c r="BO53" s="8"/>
      <c r="BU53" s="8"/>
      <c r="BV53" s="8"/>
      <c r="BW53" s="8"/>
      <c r="BX53" s="8"/>
      <c r="BY53" s="9"/>
      <c r="BZ53" s="8"/>
      <c r="EH53" s="52">
        <f t="shared" si="50"/>
        <v>48</v>
      </c>
      <c r="EI53" s="47">
        <v>5.08674021501065</v>
      </c>
      <c r="EJ53" s="47">
        <v>7.9108696253388189</v>
      </c>
      <c r="EK53" s="47">
        <f t="shared" si="36"/>
        <v>0.94</v>
      </c>
      <c r="EL53" s="47">
        <f t="shared" si="37"/>
        <v>0.96</v>
      </c>
      <c r="EM53" s="45">
        <f t="shared" si="38"/>
        <v>0.96583169590154494</v>
      </c>
      <c r="EN53" s="45">
        <f t="shared" si="39"/>
        <v>2.5831695901544993E-2</v>
      </c>
      <c r="EO53" s="45">
        <f t="shared" si="40"/>
        <v>5.8316959015449754E-3</v>
      </c>
      <c r="EP53" s="8"/>
      <c r="EQ53" s="8"/>
      <c r="ER53" s="8"/>
      <c r="ES53" s="8"/>
      <c r="ET53" s="9"/>
      <c r="EV53" s="21">
        <f t="shared" si="41"/>
        <v>49</v>
      </c>
      <c r="EW53" s="25">
        <v>1.466640368453227</v>
      </c>
      <c r="EX53" s="25">
        <v>8.4538788895588368</v>
      </c>
      <c r="EY53" s="8">
        <f t="shared" si="8"/>
        <v>71.468068279328548</v>
      </c>
      <c r="EZ53" s="7"/>
      <c r="FA53" s="8"/>
      <c r="FB53" s="8"/>
      <c r="FC53" s="8"/>
      <c r="FD53" s="8"/>
      <c r="FE53" s="8"/>
      <c r="FF53" s="8"/>
      <c r="FG53" s="8"/>
      <c r="FH53" s="8"/>
      <c r="FI53" s="9"/>
      <c r="GL53" s="78" t="s">
        <v>119</v>
      </c>
      <c r="GM53" s="78"/>
      <c r="HN53" s="21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9"/>
      <c r="IA53" s="8"/>
      <c r="JO53" s="22"/>
      <c r="JP53" s="17"/>
      <c r="JQ53" s="17"/>
      <c r="JR53" s="17"/>
      <c r="JS53" s="17"/>
      <c r="JT53" s="17"/>
      <c r="JU53" s="17"/>
      <c r="JV53" s="18"/>
    </row>
    <row r="54" spans="37:282" ht="16.5" x14ac:dyDescent="0.45">
      <c r="AK54" s="21"/>
      <c r="AL54" s="7">
        <v>2</v>
      </c>
      <c r="AM54" s="7">
        <v>5</v>
      </c>
      <c r="AN54" s="7">
        <f t="shared" si="88"/>
        <v>10</v>
      </c>
      <c r="AO54" s="7"/>
      <c r="AP54" s="7"/>
      <c r="AQ54" s="8"/>
      <c r="AR54" s="8"/>
      <c r="AS54" s="8"/>
      <c r="AT54" s="8"/>
      <c r="AU54" s="9"/>
      <c r="AW54" s="21"/>
      <c r="AX54" s="8"/>
      <c r="AY54" s="8" t="s">
        <v>36</v>
      </c>
      <c r="AZ54" s="8">
        <f>+$AZ$38+AZ49*$AZ$43</f>
        <v>6.7512508390248449</v>
      </c>
      <c r="BA54" s="7"/>
      <c r="BB54" s="8"/>
      <c r="BC54" s="8"/>
      <c r="BD54" s="8"/>
      <c r="BE54" s="8"/>
      <c r="BF54" s="8"/>
      <c r="BG54" s="8"/>
      <c r="BH54" s="8"/>
      <c r="BI54" s="8"/>
      <c r="BJ54" s="9"/>
      <c r="BK54" s="8"/>
      <c r="BL54" s="21"/>
      <c r="BU54" s="8"/>
      <c r="BV54" s="8"/>
      <c r="BW54" s="8"/>
      <c r="BX54" s="8"/>
      <c r="BY54" s="9"/>
      <c r="BZ54" s="8"/>
      <c r="EH54" s="52">
        <f t="shared" si="50"/>
        <v>49</v>
      </c>
      <c r="EI54" s="47">
        <v>1.466640368453227</v>
      </c>
      <c r="EJ54" s="47">
        <v>8.4538788895588368</v>
      </c>
      <c r="EK54" s="47">
        <f t="shared" si="36"/>
        <v>0.96</v>
      </c>
      <c r="EL54" s="47">
        <f t="shared" si="37"/>
        <v>0.98</v>
      </c>
      <c r="EM54" s="45">
        <f t="shared" si="38"/>
        <v>0.98553690048409126</v>
      </c>
      <c r="EN54" s="45">
        <f t="shared" si="39"/>
        <v>2.5536900484091296E-2</v>
      </c>
      <c r="EO54" s="45">
        <f t="shared" si="40"/>
        <v>5.5369004840912783E-3</v>
      </c>
      <c r="EP54" s="8"/>
      <c r="EQ54" s="8"/>
      <c r="ER54" s="8"/>
      <c r="ES54" s="8"/>
      <c r="ET54" s="9"/>
      <c r="EV54" s="21">
        <f t="shared" si="41"/>
        <v>50</v>
      </c>
      <c r="EW54" s="25">
        <v>6.0987059795297682</v>
      </c>
      <c r="EX54" s="25">
        <v>8.75646777683869</v>
      </c>
      <c r="EY54" s="8">
        <f t="shared" si="8"/>
        <v>76.675727926814318</v>
      </c>
      <c r="EZ54" s="7"/>
      <c r="FA54" s="8"/>
      <c r="FB54" s="8"/>
      <c r="FC54" s="8"/>
      <c r="FD54" s="8"/>
      <c r="FE54" s="8"/>
      <c r="FF54" s="8"/>
      <c r="FG54" s="8"/>
      <c r="FH54" s="8"/>
      <c r="FI54" s="9"/>
      <c r="GL54" s="75" t="s">
        <v>120</v>
      </c>
      <c r="GM54" s="75">
        <v>0.97197614428620627</v>
      </c>
      <c r="HN54" s="21"/>
      <c r="HO54" s="8" t="s">
        <v>369</v>
      </c>
      <c r="HP54" s="8">
        <v>3</v>
      </c>
      <c r="HQ54" s="8">
        <v>3</v>
      </c>
      <c r="HR54" s="8">
        <v>4</v>
      </c>
      <c r="HS54" s="8">
        <v>4</v>
      </c>
      <c r="HT54" s="8">
        <v>2</v>
      </c>
      <c r="HU54" s="8">
        <v>8</v>
      </c>
      <c r="HV54" s="8">
        <v>5</v>
      </c>
      <c r="HW54" s="8">
        <v>3</v>
      </c>
      <c r="HX54" s="8">
        <v>6</v>
      </c>
      <c r="HY54" s="8">
        <v>15</v>
      </c>
      <c r="HZ54" s="9">
        <v>5</v>
      </c>
      <c r="IA54" s="8"/>
    </row>
    <row r="55" spans="37:282" x14ac:dyDescent="0.35">
      <c r="AK55" s="21"/>
      <c r="AL55" s="7">
        <v>3</v>
      </c>
      <c r="AM55" s="7">
        <v>7</v>
      </c>
      <c r="AN55" s="7">
        <f t="shared" si="88"/>
        <v>21</v>
      </c>
      <c r="AO55" s="7"/>
      <c r="AP55" s="7"/>
      <c r="AQ55" s="8"/>
      <c r="AR55" s="8"/>
      <c r="AS55" s="8"/>
      <c r="AT55" s="8"/>
      <c r="AU55" s="9"/>
      <c r="AW55" s="22"/>
      <c r="AX55" s="17"/>
      <c r="AY55" s="17"/>
      <c r="AZ55" s="17"/>
      <c r="BA55" s="16"/>
      <c r="BB55" s="17"/>
      <c r="BC55" s="17"/>
      <c r="BD55" s="17"/>
      <c r="BE55" s="17"/>
      <c r="BF55" s="17"/>
      <c r="BG55" s="17"/>
      <c r="BH55" s="17"/>
      <c r="BI55" s="17"/>
      <c r="BJ55" s="18"/>
      <c r="BK55" s="8"/>
      <c r="BL55" s="22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8"/>
      <c r="BZ55" s="8"/>
      <c r="EH55" s="52">
        <f t="shared" si="50"/>
        <v>50</v>
      </c>
      <c r="EI55" s="47">
        <v>6.0987059795297682</v>
      </c>
      <c r="EJ55" s="47">
        <v>8.75646777683869</v>
      </c>
      <c r="EK55" s="47">
        <f t="shared" si="36"/>
        <v>0.98</v>
      </c>
      <c r="EL55" s="47">
        <f t="shared" si="37"/>
        <v>1</v>
      </c>
      <c r="EM55" s="45">
        <f t="shared" si="38"/>
        <v>0.99148482394231907</v>
      </c>
      <c r="EN55" s="45">
        <f t="shared" si="39"/>
        <v>1.1484823942319089E-2</v>
      </c>
      <c r="EO55" s="45">
        <f t="shared" si="40"/>
        <v>8.5151760576809288E-3</v>
      </c>
      <c r="EP55" s="17"/>
      <c r="EQ55" s="17"/>
      <c r="ER55" s="17"/>
      <c r="ES55" s="17"/>
      <c r="ET55" s="18"/>
      <c r="EV55" s="21"/>
      <c r="EW55" s="8" t="s">
        <v>275</v>
      </c>
      <c r="EX55" s="25">
        <f>SUM(EX5:EX54)</f>
        <v>258.72303360210935</v>
      </c>
      <c r="EY55" s="8">
        <f>SUM(EY5:EY54)</f>
        <v>1449.1827111478303</v>
      </c>
      <c r="EZ55" s="7"/>
      <c r="FA55" s="8"/>
      <c r="FB55" s="8"/>
      <c r="FC55" s="8"/>
      <c r="FD55" s="8"/>
      <c r="FE55" s="8"/>
      <c r="FF55" s="8"/>
      <c r="FG55" s="8"/>
      <c r="FH55" s="8"/>
      <c r="FI55" s="9"/>
      <c r="GL55" s="75" t="s">
        <v>121</v>
      </c>
      <c r="GM55" s="75">
        <v>0.94473762506147996</v>
      </c>
      <c r="HN55" s="21"/>
      <c r="HO55" s="8"/>
      <c r="HP55" s="8">
        <v>2</v>
      </c>
      <c r="HQ55" s="8">
        <v>1</v>
      </c>
      <c r="HR55" s="8">
        <v>3</v>
      </c>
      <c r="HS55" s="8">
        <v>4</v>
      </c>
      <c r="HT55" s="8">
        <v>7</v>
      </c>
      <c r="HU55" s="8">
        <v>20</v>
      </c>
      <c r="HV55" s="8">
        <v>17</v>
      </c>
      <c r="HW55" s="8">
        <v>12</v>
      </c>
      <c r="HX55" s="8">
        <v>15</v>
      </c>
      <c r="HY55" s="50">
        <v>4</v>
      </c>
      <c r="HZ55" s="9">
        <v>7</v>
      </c>
      <c r="IA55" s="8"/>
    </row>
    <row r="56" spans="37:282" x14ac:dyDescent="0.35">
      <c r="AK56" s="21"/>
      <c r="AL56" s="7">
        <v>4</v>
      </c>
      <c r="AM56" s="7">
        <v>8</v>
      </c>
      <c r="AN56" s="7">
        <f t="shared" si="88"/>
        <v>32</v>
      </c>
      <c r="AO56" s="7"/>
      <c r="AP56" s="7"/>
      <c r="AQ56" s="8"/>
      <c r="AR56" s="8"/>
      <c r="AS56" s="8"/>
      <c r="AT56" s="8"/>
      <c r="AU56" s="9"/>
      <c r="EV56" s="21"/>
      <c r="EW56" s="8"/>
      <c r="EX56" s="8"/>
      <c r="EY56" s="8"/>
      <c r="EZ56" s="7"/>
      <c r="FA56" s="8"/>
      <c r="FB56" s="8"/>
      <c r="FC56" s="8"/>
      <c r="FD56" s="8"/>
      <c r="FE56" s="8"/>
      <c r="FF56" s="8"/>
      <c r="FG56" s="8"/>
      <c r="FH56" s="8"/>
      <c r="FI56" s="9"/>
      <c r="GL56" s="75" t="s">
        <v>122</v>
      </c>
      <c r="GM56" s="75">
        <v>0.94222569892791086</v>
      </c>
      <c r="HN56" s="21"/>
      <c r="HO56" s="8"/>
      <c r="HP56" s="8">
        <v>5</v>
      </c>
      <c r="HQ56" s="8">
        <v>12</v>
      </c>
      <c r="HR56" s="8">
        <v>15</v>
      </c>
      <c r="HS56" s="50">
        <v>13</v>
      </c>
      <c r="HT56" s="50">
        <v>13</v>
      </c>
      <c r="HU56" s="50">
        <v>14</v>
      </c>
      <c r="HV56" s="50">
        <v>10</v>
      </c>
      <c r="HW56" s="50">
        <v>12</v>
      </c>
      <c r="HX56" s="50">
        <v>20</v>
      </c>
      <c r="HY56" s="50">
        <v>22</v>
      </c>
      <c r="HZ56" s="9">
        <v>3</v>
      </c>
      <c r="IA56" s="8"/>
    </row>
    <row r="57" spans="37:282" x14ac:dyDescent="0.35">
      <c r="AK57" s="21"/>
      <c r="AL57" s="7">
        <v>5</v>
      </c>
      <c r="AM57" s="7">
        <v>5</v>
      </c>
      <c r="AN57" s="7">
        <f t="shared" si="88"/>
        <v>25</v>
      </c>
      <c r="AO57" s="7"/>
      <c r="AP57" s="7"/>
      <c r="AQ57" s="8"/>
      <c r="AR57" s="8"/>
      <c r="AS57" s="8"/>
      <c r="AT57" s="8"/>
      <c r="AU57" s="9"/>
      <c r="EV57" s="21"/>
      <c r="EW57" s="8"/>
      <c r="EX57" s="8" t="s">
        <v>7</v>
      </c>
      <c r="EY57" s="8">
        <v>50</v>
      </c>
      <c r="EZ57" s="7"/>
      <c r="FA57" s="8"/>
      <c r="FB57" s="8"/>
      <c r="FC57" s="8"/>
      <c r="FD57" s="8"/>
      <c r="FE57" s="8"/>
      <c r="FF57" s="8"/>
      <c r="FG57" s="8"/>
      <c r="FH57" s="8"/>
      <c r="FI57" s="9"/>
      <c r="GL57" s="75" t="s">
        <v>123</v>
      </c>
      <c r="GM57" s="75">
        <v>0.88115857846452028</v>
      </c>
      <c r="HN57" s="21"/>
      <c r="HO57" s="8"/>
      <c r="HP57">
        <v>5</v>
      </c>
      <c r="HQ57">
        <v>7</v>
      </c>
      <c r="HR57">
        <v>7</v>
      </c>
      <c r="HS57">
        <v>6</v>
      </c>
      <c r="HT57">
        <v>5</v>
      </c>
      <c r="HU57">
        <v>7</v>
      </c>
      <c r="HV57">
        <v>7</v>
      </c>
      <c r="HW57">
        <v>8</v>
      </c>
      <c r="HX57">
        <v>5</v>
      </c>
      <c r="HY57">
        <v>6</v>
      </c>
      <c r="HZ57" s="9">
        <v>1</v>
      </c>
      <c r="IA57" s="8"/>
    </row>
    <row r="58" spans="37:282" ht="15" thickBot="1" x14ac:dyDescent="0.4">
      <c r="AK58" s="21"/>
      <c r="AL58" s="7">
        <v>6</v>
      </c>
      <c r="AM58" s="7">
        <v>3</v>
      </c>
      <c r="AN58" s="7">
        <f t="shared" si="88"/>
        <v>18</v>
      </c>
      <c r="AO58" s="7"/>
      <c r="AP58" s="7"/>
      <c r="AQ58" s="8"/>
      <c r="AR58" s="8"/>
      <c r="AS58" s="8"/>
      <c r="AT58" s="8"/>
      <c r="AU58" s="9"/>
      <c r="EV58" s="21"/>
      <c r="EW58" s="8"/>
      <c r="EX58" s="8" t="s">
        <v>24</v>
      </c>
      <c r="EY58" s="8">
        <f>+EX55/EY57</f>
        <v>5.1744606720421871</v>
      </c>
      <c r="EZ58" s="7"/>
      <c r="FA58" s="8"/>
      <c r="FB58" s="8"/>
      <c r="FC58" s="8"/>
      <c r="FD58" s="8"/>
      <c r="FE58" s="8"/>
      <c r="FF58" s="8"/>
      <c r="FG58" s="8"/>
      <c r="FH58" s="8"/>
      <c r="FI58" s="9"/>
      <c r="GL58" s="76" t="s">
        <v>124</v>
      </c>
      <c r="GM58" s="76">
        <v>24</v>
      </c>
      <c r="HN58" s="21"/>
      <c r="HO58" s="8"/>
      <c r="HZ58" s="9"/>
      <c r="IA58" s="8"/>
    </row>
    <row r="59" spans="37:282" ht="16.5" x14ac:dyDescent="0.45">
      <c r="AK59" s="21"/>
      <c r="AL59" s="7">
        <v>7</v>
      </c>
      <c r="AM59" s="7">
        <v>2</v>
      </c>
      <c r="AN59" s="7">
        <f t="shared" si="88"/>
        <v>14</v>
      </c>
      <c r="AO59" s="7"/>
      <c r="AP59" s="7"/>
      <c r="AQ59" s="8"/>
      <c r="AR59" s="8"/>
      <c r="AS59" s="8"/>
      <c r="AT59" s="8"/>
      <c r="AU59" s="9"/>
      <c r="EV59" s="21"/>
      <c r="EW59" s="8"/>
      <c r="EX59" s="8" t="s">
        <v>31</v>
      </c>
      <c r="EY59" s="8">
        <f>+EY55/EY57</f>
        <v>28.983654222956606</v>
      </c>
      <c r="EZ59" s="7"/>
      <c r="FA59" s="8"/>
      <c r="FB59" s="8"/>
      <c r="FC59" s="8"/>
      <c r="FD59" s="8"/>
      <c r="FE59" s="8"/>
      <c r="FF59" s="8"/>
      <c r="FG59" s="8"/>
      <c r="FH59" s="8"/>
      <c r="FI59" s="9"/>
      <c r="HN59" s="21"/>
      <c r="HO59" s="8" t="s">
        <v>170</v>
      </c>
      <c r="HP59" s="8">
        <f>+MEDIAN(HP54:HZ57)</f>
        <v>6.5</v>
      </c>
      <c r="HQ59" s="8"/>
      <c r="HR59" s="50"/>
      <c r="HS59" s="8"/>
      <c r="HT59" s="8"/>
      <c r="HU59" s="8"/>
      <c r="HV59" s="8"/>
      <c r="HW59" s="8"/>
      <c r="HX59" s="8"/>
      <c r="HY59" s="8"/>
      <c r="HZ59" s="9"/>
      <c r="IA59" s="8"/>
    </row>
    <row r="60" spans="37:282" ht="17" thickBot="1" x14ac:dyDescent="0.4">
      <c r="AK60" s="21"/>
      <c r="AL60" s="7">
        <v>8</v>
      </c>
      <c r="AM60" s="7">
        <v>1</v>
      </c>
      <c r="AN60" s="7">
        <f t="shared" si="88"/>
        <v>8</v>
      </c>
      <c r="AO60" s="7"/>
      <c r="AP60" s="7"/>
      <c r="AQ60" s="8"/>
      <c r="AR60" s="8"/>
      <c r="AS60" s="8"/>
      <c r="AT60" s="8"/>
      <c r="AU60" s="9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V60" s="21"/>
      <c r="EW60" s="8"/>
      <c r="EX60" s="8" t="s">
        <v>23</v>
      </c>
      <c r="EY60" s="8">
        <f>+EY59-EY58^2</f>
        <v>2.2086109764453248</v>
      </c>
      <c r="EZ60" s="7"/>
      <c r="FA60" s="8"/>
      <c r="FB60" s="8"/>
      <c r="FC60" s="8"/>
      <c r="FD60" s="8"/>
      <c r="FE60" s="8"/>
      <c r="FF60" s="8"/>
      <c r="FG60" s="8"/>
      <c r="FH60" s="8"/>
      <c r="FI60" s="9"/>
      <c r="GL60" t="s">
        <v>125</v>
      </c>
      <c r="HN60" s="21"/>
      <c r="HO60" s="8" t="s">
        <v>171</v>
      </c>
      <c r="HP60" s="8">
        <f>COUNTIFS(HP54:HZ57,"&lt;6,5")</f>
        <v>22</v>
      </c>
      <c r="HQ60" s="8">
        <f>COUNTIFS(HP64:HZ68,0)</f>
        <v>22</v>
      </c>
      <c r="HR60" s="8"/>
      <c r="HS60" s="8"/>
      <c r="HT60" s="8"/>
      <c r="HU60" s="8"/>
      <c r="HV60" s="8"/>
      <c r="HW60" s="8"/>
      <c r="HX60" s="8"/>
      <c r="HY60" s="8"/>
      <c r="HZ60" s="9"/>
      <c r="IA60" s="8"/>
    </row>
    <row r="61" spans="37:282" x14ac:dyDescent="0.35">
      <c r="AK61" s="21"/>
      <c r="AL61" s="7">
        <v>9</v>
      </c>
      <c r="AM61" s="7">
        <v>1</v>
      </c>
      <c r="AN61" s="7">
        <f t="shared" si="88"/>
        <v>9</v>
      </c>
      <c r="AO61" s="7"/>
      <c r="AP61" s="7"/>
      <c r="AQ61" s="8"/>
      <c r="AR61" s="8"/>
      <c r="AS61" s="8"/>
      <c r="AT61" s="8"/>
      <c r="AU61" s="9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V61" s="21"/>
      <c r="EW61" s="8"/>
      <c r="EX61" s="8" t="s">
        <v>25</v>
      </c>
      <c r="EY61" s="8">
        <f>+SQRT(EY60)</f>
        <v>1.4861396221234817</v>
      </c>
      <c r="EZ61" s="7"/>
      <c r="FA61" s="8"/>
      <c r="FB61" s="8"/>
      <c r="FC61" s="8"/>
      <c r="FD61" s="8"/>
      <c r="FE61" s="8"/>
      <c r="FF61" s="8"/>
      <c r="FG61" s="8"/>
      <c r="FH61" s="8"/>
      <c r="FI61" s="9"/>
      <c r="GL61" s="77"/>
      <c r="GM61" s="77" t="s">
        <v>129</v>
      </c>
      <c r="GN61" s="77" t="s">
        <v>130</v>
      </c>
      <c r="GO61" s="77" t="s">
        <v>131</v>
      </c>
      <c r="GP61" s="77" t="s">
        <v>132</v>
      </c>
      <c r="GQ61" s="77" t="s">
        <v>133</v>
      </c>
      <c r="HN61" s="21"/>
      <c r="HO61" s="8" t="s">
        <v>173</v>
      </c>
      <c r="HP61" s="8">
        <f>+COUNTIF(HP54:HZ57,"&gt;6,5")</f>
        <v>22</v>
      </c>
      <c r="HQ61" s="8">
        <f>COUNTIFS(HP64:HZ68,1)</f>
        <v>22</v>
      </c>
      <c r="HR61" s="8"/>
      <c r="HS61" s="8"/>
      <c r="HT61" s="8"/>
      <c r="HU61" s="8"/>
      <c r="HV61" s="8"/>
      <c r="HW61" s="8"/>
      <c r="HX61" s="8"/>
      <c r="HY61" s="8"/>
      <c r="HZ61" s="9"/>
    </row>
    <row r="62" spans="37:282" ht="17.5" x14ac:dyDescent="0.45">
      <c r="AK62" s="21"/>
      <c r="AL62" s="7">
        <v>10</v>
      </c>
      <c r="AM62" s="7">
        <v>0</v>
      </c>
      <c r="AN62" s="7">
        <f t="shared" si="88"/>
        <v>0</v>
      </c>
      <c r="AO62" s="7"/>
      <c r="AP62" s="7"/>
      <c r="AQ62" s="8"/>
      <c r="AR62" s="8"/>
      <c r="AS62" s="8"/>
      <c r="AT62" s="8"/>
      <c r="AU62" s="9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V62" s="21"/>
      <c r="EW62" s="8"/>
      <c r="EX62" s="8" t="s">
        <v>30</v>
      </c>
      <c r="EY62" s="8">
        <f>+EY57/(EY57-1)*EY60</f>
        <v>2.2536846698421682</v>
      </c>
      <c r="EZ62" s="7"/>
      <c r="FA62" s="8"/>
      <c r="FB62" s="8"/>
      <c r="FC62" s="8"/>
      <c r="FD62" s="8"/>
      <c r="FE62" s="8"/>
      <c r="FF62" s="8"/>
      <c r="FG62" s="8"/>
      <c r="FH62" s="8"/>
      <c r="FI62" s="9"/>
      <c r="GL62" s="75" t="s">
        <v>126</v>
      </c>
      <c r="GM62" s="75">
        <v>1</v>
      </c>
      <c r="GN62" s="75">
        <v>292.01993158312507</v>
      </c>
      <c r="GO62" s="75">
        <v>292.01993158312507</v>
      </c>
      <c r="GP62" s="75">
        <v>376.10087830056568</v>
      </c>
      <c r="GQ62" s="75">
        <v>2.5340310743790214E-15</v>
      </c>
      <c r="HN62" s="21"/>
      <c r="HO62" s="8" t="s">
        <v>7</v>
      </c>
      <c r="HP62" s="8">
        <f>+HP61+HP60</f>
        <v>44</v>
      </c>
      <c r="HQ62" s="8"/>
      <c r="HR62" s="8"/>
      <c r="HS62" s="8"/>
      <c r="HT62" s="8"/>
      <c r="HU62" s="8"/>
      <c r="HV62" s="8"/>
      <c r="HW62" s="8"/>
      <c r="HX62" s="8"/>
      <c r="HY62" s="8"/>
      <c r="HZ62" s="9"/>
    </row>
    <row r="63" spans="37:282" ht="16.5" x14ac:dyDescent="0.45">
      <c r="AK63" s="21"/>
      <c r="AL63" s="7"/>
      <c r="AM63" s="7">
        <f>SUM(AM52:AM62)</f>
        <v>38</v>
      </c>
      <c r="AN63" s="7">
        <f>SUM(AN52:AN62)</f>
        <v>141</v>
      </c>
      <c r="AO63" s="7"/>
      <c r="AP63" s="7"/>
      <c r="AQ63" s="8"/>
      <c r="AR63" s="8"/>
      <c r="AS63" s="8"/>
      <c r="AT63" s="8"/>
      <c r="AU63" s="9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V63" s="21"/>
      <c r="EW63" s="8"/>
      <c r="EX63" s="8" t="s">
        <v>32</v>
      </c>
      <c r="EY63" s="8">
        <f>+SQRT(EY62)</f>
        <v>1.5012277208478959</v>
      </c>
      <c r="EZ63" s="7"/>
      <c r="FA63" s="8"/>
      <c r="FB63" s="8"/>
      <c r="FC63" s="8"/>
      <c r="FD63" s="8"/>
      <c r="FE63" s="8"/>
      <c r="FF63" s="8"/>
      <c r="FG63" s="8"/>
      <c r="FH63" s="8"/>
      <c r="FI63" s="9"/>
      <c r="GL63" s="75" t="s">
        <v>127</v>
      </c>
      <c r="GM63" s="75">
        <v>22</v>
      </c>
      <c r="GN63" s="75">
        <v>17.08168968883551</v>
      </c>
      <c r="GO63" s="75">
        <v>0.77644044040161408</v>
      </c>
      <c r="GP63" s="75"/>
      <c r="GQ63" s="75"/>
      <c r="HN63" s="21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9"/>
    </row>
    <row r="64" spans="37:282" ht="15" thickBot="1" x14ac:dyDescent="0.4">
      <c r="AK64" s="21"/>
      <c r="AL64" s="7"/>
      <c r="AM64" s="7"/>
      <c r="AN64" s="7"/>
      <c r="AO64" s="7"/>
      <c r="AP64" s="7"/>
      <c r="AQ64" s="8"/>
      <c r="AR64" s="8"/>
      <c r="AS64" s="8"/>
      <c r="AT64" s="8"/>
      <c r="AU64" s="9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V64" s="21"/>
      <c r="EW64" s="8"/>
      <c r="EX64" s="8"/>
      <c r="EY64" s="8"/>
      <c r="EZ64" s="7"/>
      <c r="FA64" s="8"/>
      <c r="FB64" s="8"/>
      <c r="FE64" s="8"/>
      <c r="FF64" s="8"/>
      <c r="FG64" s="8"/>
      <c r="FH64" s="8"/>
      <c r="FI64" s="9"/>
      <c r="GL64" s="76" t="s">
        <v>16</v>
      </c>
      <c r="GM64" s="76">
        <v>23</v>
      </c>
      <c r="GN64" s="76">
        <v>309.1016212719606</v>
      </c>
      <c r="GO64" s="76"/>
      <c r="GP64" s="76"/>
      <c r="GQ64" s="76"/>
      <c r="HN64" s="21"/>
      <c r="HO64" s="8" t="s">
        <v>312</v>
      </c>
      <c r="HP64" s="8">
        <f>IF(HP54&lt;$HP$59,0,1)</f>
        <v>0</v>
      </c>
      <c r="HQ64" s="8">
        <f t="shared" ref="HQ64:HZ64" si="89">IF(HQ54&lt;$HP$59,0,1)</f>
        <v>0</v>
      </c>
      <c r="HR64" s="8">
        <f t="shared" si="89"/>
        <v>0</v>
      </c>
      <c r="HS64" s="8">
        <f t="shared" si="89"/>
        <v>0</v>
      </c>
      <c r="HT64" s="8">
        <f t="shared" si="89"/>
        <v>0</v>
      </c>
      <c r="HU64" s="8">
        <f t="shared" si="89"/>
        <v>1</v>
      </c>
      <c r="HV64" s="8">
        <f t="shared" si="89"/>
        <v>0</v>
      </c>
      <c r="HW64" s="8">
        <f t="shared" si="89"/>
        <v>0</v>
      </c>
      <c r="HX64" s="8">
        <f t="shared" si="89"/>
        <v>0</v>
      </c>
      <c r="HY64" s="8">
        <f t="shared" si="89"/>
        <v>1</v>
      </c>
      <c r="HZ64" s="8">
        <f t="shared" si="89"/>
        <v>0</v>
      </c>
    </row>
    <row r="65" spans="37:234" ht="17" thickBot="1" x14ac:dyDescent="0.5">
      <c r="AK65" s="21"/>
      <c r="AL65" s="7"/>
      <c r="AM65" s="7" t="s">
        <v>20</v>
      </c>
      <c r="AN65" s="7">
        <f>+(AN63/AM63)/AM38</f>
        <v>0.37105263157894741</v>
      </c>
      <c r="AO65" s="7"/>
      <c r="AP65" s="7"/>
      <c r="AQ65" s="8"/>
      <c r="AR65" s="8"/>
      <c r="AS65" s="8"/>
      <c r="AT65" s="8"/>
      <c r="AU65" s="9"/>
      <c r="EV65" s="21"/>
      <c r="EW65" s="8"/>
      <c r="EX65" s="8" t="s">
        <v>270</v>
      </c>
      <c r="EY65" s="8"/>
      <c r="EZ65" s="7"/>
      <c r="FA65" s="8"/>
      <c r="FB65" s="8"/>
      <c r="FC65" s="8" t="s">
        <v>271</v>
      </c>
      <c r="FD65" s="8"/>
      <c r="FE65" s="8"/>
      <c r="FF65" s="8"/>
      <c r="FG65" s="8"/>
      <c r="FH65" s="8"/>
      <c r="FI65" s="9"/>
      <c r="HN65" s="21"/>
      <c r="HO65" s="8"/>
      <c r="HP65" s="8">
        <f t="shared" ref="HP65:HZ67" si="90">IF(HP55&lt;$HP$59,0,1)</f>
        <v>0</v>
      </c>
      <c r="HQ65" s="8">
        <f t="shared" si="90"/>
        <v>0</v>
      </c>
      <c r="HR65" s="8">
        <f t="shared" si="90"/>
        <v>0</v>
      </c>
      <c r="HS65" s="8">
        <f t="shared" si="90"/>
        <v>0</v>
      </c>
      <c r="HT65" s="8">
        <f t="shared" si="90"/>
        <v>1</v>
      </c>
      <c r="HU65" s="8">
        <f t="shared" si="90"/>
        <v>1</v>
      </c>
      <c r="HV65" s="8">
        <f t="shared" si="90"/>
        <v>1</v>
      </c>
      <c r="HW65" s="8">
        <f t="shared" si="90"/>
        <v>1</v>
      </c>
      <c r="HX65" s="8">
        <f t="shared" si="90"/>
        <v>1</v>
      </c>
      <c r="HY65" s="8">
        <f t="shared" si="90"/>
        <v>0</v>
      </c>
      <c r="HZ65" s="8">
        <f t="shared" si="90"/>
        <v>1</v>
      </c>
    </row>
    <row r="66" spans="37:234" ht="16.5" x14ac:dyDescent="0.45">
      <c r="AK66" s="21"/>
      <c r="AL66" s="7"/>
      <c r="AM66" s="7"/>
      <c r="AN66" s="7"/>
      <c r="AO66" s="7"/>
      <c r="AP66" s="7"/>
      <c r="AQ66" s="8"/>
      <c r="AR66" s="8"/>
      <c r="AS66" s="8"/>
      <c r="AT66" s="8"/>
      <c r="AU66" s="9"/>
      <c r="EV66" s="21"/>
      <c r="EW66" s="8"/>
      <c r="EX66" s="8" t="s">
        <v>92</v>
      </c>
      <c r="EY66" s="8">
        <f>NORMSINV(0.1)</f>
        <v>-1.2815515655446006</v>
      </c>
      <c r="EZ66" s="7"/>
      <c r="FA66" s="8"/>
      <c r="FB66" s="8"/>
      <c r="FC66" s="8" t="s">
        <v>66</v>
      </c>
      <c r="FD66" s="8">
        <f>+$EY$58+EY66*$EY$63</f>
        <v>3.2505599361506134</v>
      </c>
      <c r="FE66" s="8"/>
      <c r="FF66" s="8"/>
      <c r="FG66" s="8"/>
      <c r="FH66" s="8"/>
      <c r="FI66" s="9"/>
      <c r="GL66" s="77"/>
      <c r="GM66" s="77" t="s">
        <v>134</v>
      </c>
      <c r="GN66" s="77" t="s">
        <v>123</v>
      </c>
      <c r="GO66" s="77" t="s">
        <v>135</v>
      </c>
      <c r="GP66" s="77" t="s">
        <v>136</v>
      </c>
      <c r="GQ66" s="77" t="s">
        <v>137</v>
      </c>
      <c r="GR66" s="77" t="s">
        <v>138</v>
      </c>
      <c r="GS66" s="77" t="s">
        <v>139</v>
      </c>
      <c r="GT66" s="77" t="s">
        <v>140</v>
      </c>
      <c r="HN66" s="21"/>
      <c r="HO66" s="8"/>
      <c r="HP66" s="8">
        <f t="shared" si="90"/>
        <v>0</v>
      </c>
      <c r="HQ66" s="8">
        <f t="shared" si="90"/>
        <v>1</v>
      </c>
      <c r="HR66" s="8">
        <f t="shared" si="90"/>
        <v>1</v>
      </c>
      <c r="HS66" s="8">
        <f t="shared" si="90"/>
        <v>1</v>
      </c>
      <c r="HT66" s="8">
        <f t="shared" si="90"/>
        <v>1</v>
      </c>
      <c r="HU66" s="8">
        <f t="shared" si="90"/>
        <v>1</v>
      </c>
      <c r="HV66" s="8">
        <f t="shared" si="90"/>
        <v>1</v>
      </c>
      <c r="HW66" s="8">
        <f t="shared" si="90"/>
        <v>1</v>
      </c>
      <c r="HX66" s="8">
        <f t="shared" si="90"/>
        <v>1</v>
      </c>
      <c r="HY66" s="8">
        <f t="shared" si="90"/>
        <v>1</v>
      </c>
      <c r="HZ66" s="8">
        <f t="shared" si="90"/>
        <v>0</v>
      </c>
    </row>
    <row r="67" spans="37:234" ht="16.5" x14ac:dyDescent="0.45">
      <c r="AK67" s="22"/>
      <c r="AL67" s="16"/>
      <c r="AM67" s="16"/>
      <c r="AN67" s="16"/>
      <c r="AO67" s="16"/>
      <c r="AP67" s="16"/>
      <c r="AQ67" s="17"/>
      <c r="AR67" s="17"/>
      <c r="AS67" s="17"/>
      <c r="AT67" s="17"/>
      <c r="AU67" s="18"/>
      <c r="EV67" s="21"/>
      <c r="EW67" s="8"/>
      <c r="EX67" s="8" t="s">
        <v>26</v>
      </c>
      <c r="EY67" s="8">
        <f>NORMSINV(0.2)</f>
        <v>-0.84162123357291452</v>
      </c>
      <c r="EZ67" s="7"/>
      <c r="FA67" s="8"/>
      <c r="FB67" s="8"/>
      <c r="FC67" s="8" t="s">
        <v>33</v>
      </c>
      <c r="FD67" s="8">
        <f t="shared" ref="FD67:FD74" si="91">+$EY$58+EY67*$EY$63</f>
        <v>3.9109955457483259</v>
      </c>
      <c r="FE67" s="8"/>
      <c r="FF67" s="8"/>
      <c r="FG67" s="8"/>
      <c r="FH67" s="8"/>
      <c r="FI67" s="9"/>
      <c r="GL67" s="75" t="s">
        <v>128</v>
      </c>
      <c r="GM67" s="75">
        <v>9.2242026878849863</v>
      </c>
      <c r="GN67" s="75">
        <v>0.3712765951030324</v>
      </c>
      <c r="GO67" s="75">
        <v>24.844557425778998</v>
      </c>
      <c r="GP67" s="75">
        <v>1.3709241690763983E-17</v>
      </c>
      <c r="GQ67" s="75">
        <v>8.4542221565576998</v>
      </c>
      <c r="GR67" s="75">
        <v>9.9941832192122728</v>
      </c>
      <c r="GS67" s="75">
        <v>8.4542221565576998</v>
      </c>
      <c r="GT67" s="75">
        <v>9.9941832192122728</v>
      </c>
      <c r="HN67" s="21"/>
      <c r="HO67" s="8"/>
      <c r="HP67" s="8">
        <f t="shared" si="90"/>
        <v>0</v>
      </c>
      <c r="HQ67" s="8">
        <f t="shared" si="90"/>
        <v>1</v>
      </c>
      <c r="HR67" s="8">
        <f t="shared" si="90"/>
        <v>1</v>
      </c>
      <c r="HS67" s="8">
        <f t="shared" si="90"/>
        <v>0</v>
      </c>
      <c r="HT67" s="8">
        <f t="shared" si="90"/>
        <v>0</v>
      </c>
      <c r="HU67" s="8">
        <f t="shared" si="90"/>
        <v>1</v>
      </c>
      <c r="HV67" s="8">
        <f t="shared" si="90"/>
        <v>1</v>
      </c>
      <c r="HW67" s="8">
        <f t="shared" si="90"/>
        <v>1</v>
      </c>
      <c r="HX67" s="8">
        <f t="shared" si="90"/>
        <v>0</v>
      </c>
      <c r="HY67" s="8">
        <f t="shared" si="90"/>
        <v>0</v>
      </c>
      <c r="HZ67" s="8">
        <f t="shared" si="90"/>
        <v>0</v>
      </c>
    </row>
    <row r="68" spans="37:234" ht="17" thickBot="1" x14ac:dyDescent="0.5">
      <c r="EV68" s="21"/>
      <c r="EW68" s="8"/>
      <c r="EX68" s="8" t="s">
        <v>93</v>
      </c>
      <c r="EY68" s="8">
        <f>NORMSINV(0.3)</f>
        <v>-0.52440051270804089</v>
      </c>
      <c r="EZ68" s="7"/>
      <c r="FA68" s="8"/>
      <c r="FB68" s="8"/>
      <c r="FC68" s="8" t="s">
        <v>67</v>
      </c>
      <c r="FD68" s="8">
        <f t="shared" si="91"/>
        <v>4.3872160855380269</v>
      </c>
      <c r="FE68" s="8"/>
      <c r="FF68" s="8"/>
      <c r="FG68" s="8"/>
      <c r="FH68" s="8"/>
      <c r="FI68" s="9"/>
      <c r="GL68" s="76" t="s">
        <v>141</v>
      </c>
      <c r="GM68" s="76">
        <v>0.50391504769124917</v>
      </c>
      <c r="GN68" s="76">
        <v>2.5983948898295455E-2</v>
      </c>
      <c r="GO68" s="76">
        <v>19.393320455779758</v>
      </c>
      <c r="GP68" s="76">
        <v>2.5340310743790214E-15</v>
      </c>
      <c r="GQ68" s="76">
        <v>0.45002763587327976</v>
      </c>
      <c r="GR68" s="76">
        <v>0.55780245950921858</v>
      </c>
      <c r="GS68" s="76">
        <v>0.45002763587327976</v>
      </c>
      <c r="GT68" s="76">
        <v>0.55780245950921858</v>
      </c>
      <c r="HN68" s="21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9"/>
    </row>
    <row r="69" spans="37:234" ht="16.5" x14ac:dyDescent="0.45">
      <c r="EV69" s="21"/>
      <c r="EW69" s="8"/>
      <c r="EX69" s="8" t="s">
        <v>27</v>
      </c>
      <c r="EY69" s="8">
        <f>NORMSINV(0.4)</f>
        <v>-0.25334710313579978</v>
      </c>
      <c r="EZ69" s="7"/>
      <c r="FA69" s="8"/>
      <c r="FB69" s="8"/>
      <c r="FC69" s="8" t="s">
        <v>34</v>
      </c>
      <c r="FD69" s="8">
        <f t="shared" si="91"/>
        <v>4.7941289778182137</v>
      </c>
      <c r="FE69" s="8"/>
      <c r="FF69" s="8"/>
      <c r="FG69" s="8"/>
      <c r="FH69" s="8"/>
      <c r="FI69" s="9"/>
      <c r="HN69" s="21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9"/>
    </row>
    <row r="70" spans="37:234" ht="16.5" x14ac:dyDescent="0.45">
      <c r="EV70" s="21"/>
      <c r="EW70" s="8"/>
      <c r="EX70" s="8" t="s">
        <v>94</v>
      </c>
      <c r="EY70" s="8">
        <f>NORMSINV(0.5)</f>
        <v>0</v>
      </c>
      <c r="EZ70" s="7"/>
      <c r="FA70" s="8"/>
      <c r="FB70" s="8"/>
      <c r="FC70" s="8" t="s">
        <v>24</v>
      </c>
      <c r="FD70" s="8">
        <f t="shared" si="91"/>
        <v>5.1744606720421871</v>
      </c>
      <c r="FE70" s="8"/>
      <c r="FF70" s="8"/>
      <c r="FG70" s="8"/>
      <c r="FH70" s="8"/>
      <c r="FI70" s="9"/>
      <c r="HN70" s="21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9"/>
    </row>
    <row r="71" spans="37:234" ht="16.5" x14ac:dyDescent="0.45">
      <c r="EV71" s="21"/>
      <c r="EW71" s="8"/>
      <c r="EX71" s="8" t="s">
        <v>28</v>
      </c>
      <c r="EY71" s="8">
        <f>NORMSINV(0.6)</f>
        <v>0.25334710313579978</v>
      </c>
      <c r="EZ71" s="7"/>
      <c r="FA71" s="8"/>
      <c r="FB71" s="8"/>
      <c r="FC71" s="8" t="s">
        <v>97</v>
      </c>
      <c r="FD71" s="8">
        <f t="shared" si="91"/>
        <v>5.5547923662661605</v>
      </c>
      <c r="FE71" s="8"/>
      <c r="FF71" s="8"/>
      <c r="FG71" s="8"/>
      <c r="FH71" s="8"/>
      <c r="FI71" s="9"/>
      <c r="HN71" s="21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9"/>
    </row>
    <row r="72" spans="37:234" ht="16.5" x14ac:dyDescent="0.45">
      <c r="EV72" s="21"/>
      <c r="EW72" s="8"/>
      <c r="EX72" s="8" t="s">
        <v>95</v>
      </c>
      <c r="EY72" s="8">
        <f>NORMSINV(0.7)</f>
        <v>0.52440051270804078</v>
      </c>
      <c r="EZ72" s="7"/>
      <c r="FA72" s="8"/>
      <c r="FB72" s="8"/>
      <c r="FC72" s="8" t="s">
        <v>68</v>
      </c>
      <c r="FD72" s="8">
        <f t="shared" si="91"/>
        <v>5.9617052585463473</v>
      </c>
      <c r="FE72" s="8"/>
      <c r="FF72" s="8"/>
      <c r="FG72" s="8"/>
      <c r="FH72" s="8"/>
      <c r="FI72" s="9"/>
      <c r="GL72" t="s">
        <v>142</v>
      </c>
      <c r="GQ72" t="s">
        <v>145</v>
      </c>
      <c r="HN72" s="21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9"/>
    </row>
    <row r="73" spans="37:234" ht="17" thickBot="1" x14ac:dyDescent="0.5">
      <c r="EV73" s="21"/>
      <c r="EW73" s="8"/>
      <c r="EX73" s="8" t="s">
        <v>96</v>
      </c>
      <c r="EY73" s="8">
        <f>NORMSINV(0.8)</f>
        <v>0.84162123357291474</v>
      </c>
      <c r="FC73" s="8" t="s">
        <v>36</v>
      </c>
      <c r="FD73" s="8">
        <f t="shared" si="91"/>
        <v>6.4379257983360487</v>
      </c>
      <c r="FE73" s="8"/>
      <c r="FF73" s="8"/>
      <c r="FG73" s="8"/>
      <c r="FH73" s="8"/>
      <c r="FI73" s="9"/>
      <c r="HN73" s="21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9"/>
    </row>
    <row r="74" spans="37:234" ht="16.5" x14ac:dyDescent="0.45">
      <c r="EV74" s="21"/>
      <c r="EX74" s="8" t="s">
        <v>65</v>
      </c>
      <c r="EY74" s="8">
        <f>NORMSINV(0.9)</f>
        <v>1.2815515655446006</v>
      </c>
      <c r="FC74" s="8" t="s">
        <v>69</v>
      </c>
      <c r="FD74" s="8">
        <f t="shared" si="91"/>
        <v>7.0983614079337602</v>
      </c>
      <c r="FE74" s="8"/>
      <c r="FF74" s="8"/>
      <c r="FG74" s="8"/>
      <c r="FH74" s="8"/>
      <c r="FI74" s="9"/>
      <c r="GL74" s="77" t="s">
        <v>143</v>
      </c>
      <c r="GM74" s="77" t="s">
        <v>144</v>
      </c>
      <c r="GN74" s="77" t="s">
        <v>127</v>
      </c>
      <c r="GO74" s="77" t="s">
        <v>148</v>
      </c>
      <c r="GQ74" s="77" t="s">
        <v>146</v>
      </c>
      <c r="GR74" s="77" t="s">
        <v>147</v>
      </c>
      <c r="GS74" s="79" t="s">
        <v>149</v>
      </c>
      <c r="HN74" s="21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9"/>
    </row>
    <row r="75" spans="37:234" x14ac:dyDescent="0.35">
      <c r="EV75" s="22"/>
      <c r="EW75" s="17"/>
      <c r="EX75" s="17"/>
      <c r="EY75" s="17"/>
      <c r="EZ75" s="17"/>
      <c r="FA75" s="17"/>
      <c r="FB75" s="17"/>
      <c r="FC75" s="17"/>
      <c r="FD75" s="17"/>
      <c r="FE75" s="17"/>
      <c r="FF75" s="17"/>
      <c r="FG75" s="17"/>
      <c r="FH75" s="17"/>
      <c r="FI75" s="18"/>
      <c r="GL75" s="75">
        <v>1</v>
      </c>
      <c r="GM75" s="75">
        <v>9.7281177355762356</v>
      </c>
      <c r="GN75" s="75">
        <v>-3.1514938655163878</v>
      </c>
      <c r="GO75" s="75">
        <v>-3.6569158773351562</v>
      </c>
      <c r="GQ75" s="75">
        <v>2.0833333333333335</v>
      </c>
      <c r="GR75" s="75">
        <v>6.5766238700598478</v>
      </c>
      <c r="GS75">
        <f>NORMSINV(GQ75/100)</f>
        <v>-2.0368341317013883</v>
      </c>
      <c r="HN75" s="21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9"/>
    </row>
    <row r="76" spans="37:234" ht="16.5" x14ac:dyDescent="0.45">
      <c r="GL76" s="75">
        <v>2</v>
      </c>
      <c r="GM76" s="75">
        <v>10.232032783267485</v>
      </c>
      <c r="GN76" s="75">
        <v>3.118238569383891E-2</v>
      </c>
      <c r="GO76" s="75">
        <v>3.6183272506006781E-2</v>
      </c>
      <c r="GQ76" s="75">
        <v>6.25</v>
      </c>
      <c r="GR76" s="75">
        <v>10.263215168961324</v>
      </c>
      <c r="GS76">
        <f t="shared" ref="GS76:GS98" si="92">NORMSINV(GQ76/100)</f>
        <v>-1.5341205443525459</v>
      </c>
      <c r="HN76" s="21"/>
      <c r="HO76" s="31" t="s">
        <v>174</v>
      </c>
      <c r="HP76" s="8">
        <v>1.96</v>
      </c>
      <c r="HQ76" s="8"/>
      <c r="HR76" s="8"/>
      <c r="HS76" s="8"/>
      <c r="HT76" s="8"/>
      <c r="HU76" s="8"/>
      <c r="HV76" s="8"/>
      <c r="HW76" s="8"/>
      <c r="HX76" s="8"/>
      <c r="HY76" s="8"/>
      <c r="HZ76" s="9"/>
    </row>
    <row r="77" spans="37:234" ht="16.5" x14ac:dyDescent="0.45">
      <c r="GL77" s="75">
        <v>3</v>
      </c>
      <c r="GM77" s="75">
        <v>10.735947830958734</v>
      </c>
      <c r="GN77" s="75">
        <v>0.31983740091559021</v>
      </c>
      <c r="GO77" s="75">
        <v>0.37113144416106419</v>
      </c>
      <c r="GQ77" s="75">
        <v>10.416666666666668</v>
      </c>
      <c r="GR77" s="75">
        <v>11.055785231874324</v>
      </c>
      <c r="GS77">
        <f t="shared" si="92"/>
        <v>-1.258161561063097</v>
      </c>
      <c r="HN77" s="21"/>
      <c r="HO77" s="81" t="s">
        <v>175</v>
      </c>
      <c r="HP77" s="8">
        <v>-1.96</v>
      </c>
      <c r="HQ77" s="8"/>
      <c r="HR77" s="8"/>
      <c r="HS77" s="8"/>
      <c r="HT77" s="8"/>
      <c r="HU77" s="8"/>
      <c r="HV77" s="8"/>
      <c r="HW77" s="8"/>
      <c r="HX77" s="8"/>
      <c r="HY77" s="8"/>
      <c r="HZ77" s="9"/>
    </row>
    <row r="78" spans="37:234" x14ac:dyDescent="0.35">
      <c r="GL78" s="75">
        <v>4</v>
      </c>
      <c r="GM78" s="75">
        <v>11.239862878649983</v>
      </c>
      <c r="GN78" s="75">
        <v>0.69984206398341442</v>
      </c>
      <c r="GO78" s="75">
        <v>0.81207949773007304</v>
      </c>
      <c r="GQ78" s="75">
        <v>14.583333333333334</v>
      </c>
      <c r="GR78" s="75">
        <v>11.939704942633398</v>
      </c>
      <c r="GS78">
        <f t="shared" si="92"/>
        <v>-1.054472451770053</v>
      </c>
      <c r="HN78" s="21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9"/>
    </row>
    <row r="79" spans="37:234" x14ac:dyDescent="0.35">
      <c r="GL79" s="75">
        <v>5</v>
      </c>
      <c r="GM79" s="75">
        <v>11.743777926341233</v>
      </c>
      <c r="GN79" s="75">
        <v>0.33393828981269813</v>
      </c>
      <c r="GO79" s="75">
        <v>0.38749376840881383</v>
      </c>
      <c r="GQ79" s="75">
        <v>18.75</v>
      </c>
      <c r="GR79" s="75">
        <v>12.077716216153931</v>
      </c>
      <c r="GS79">
        <f t="shared" si="92"/>
        <v>-0.88714655901887607</v>
      </c>
      <c r="HN79" s="21"/>
      <c r="HO79" s="8" t="s">
        <v>231</v>
      </c>
      <c r="HP79" s="26" t="s">
        <v>176</v>
      </c>
      <c r="HQ79" s="93">
        <v>-1.96</v>
      </c>
      <c r="HR79" s="93" t="s">
        <v>163</v>
      </c>
      <c r="HS79" s="93">
        <v>1.96</v>
      </c>
      <c r="HT79" s="26" t="s">
        <v>177</v>
      </c>
      <c r="HU79" s="8"/>
      <c r="HV79" s="8"/>
      <c r="HW79" s="8"/>
      <c r="HX79" s="8"/>
      <c r="HY79" s="8"/>
      <c r="HZ79" s="9"/>
    </row>
    <row r="80" spans="37:234" x14ac:dyDescent="0.35">
      <c r="GL80" s="75">
        <v>6</v>
      </c>
      <c r="GM80" s="75">
        <v>12.247692974032482</v>
      </c>
      <c r="GN80" s="75">
        <v>1.4785142213994433</v>
      </c>
      <c r="GO80" s="75">
        <v>1.7156314947214786</v>
      </c>
      <c r="GQ80" s="75">
        <v>22.916666666666668</v>
      </c>
      <c r="GR80" s="75">
        <v>13.726207195431925</v>
      </c>
      <c r="GS80">
        <f t="shared" si="92"/>
        <v>-0.74159404386151595</v>
      </c>
      <c r="HN80" s="21"/>
      <c r="HO80" s="8" t="s">
        <v>232</v>
      </c>
      <c r="HP80" s="80">
        <f>+HQ79</f>
        <v>-1.96</v>
      </c>
      <c r="HQ80" s="80">
        <f>+HS79</f>
        <v>1.96</v>
      </c>
      <c r="HR80" s="8"/>
      <c r="HS80" s="8"/>
      <c r="HT80" s="8"/>
      <c r="HU80" s="8"/>
      <c r="HV80" s="8"/>
      <c r="HW80" s="8"/>
      <c r="HX80" s="8"/>
      <c r="HY80" s="8"/>
      <c r="HZ80" s="9"/>
    </row>
    <row r="81" spans="194:234" x14ac:dyDescent="0.35">
      <c r="GL81" s="75">
        <v>7</v>
      </c>
      <c r="GM81" s="75">
        <v>12.75160802172373</v>
      </c>
      <c r="GN81" s="75">
        <v>1.052265473766095</v>
      </c>
      <c r="GO81" s="75">
        <v>1.2210229441637552</v>
      </c>
      <c r="GQ81" s="75">
        <v>27.083333333333332</v>
      </c>
      <c r="GR81" s="75">
        <v>13.803873495489825</v>
      </c>
      <c r="GS81">
        <f t="shared" si="92"/>
        <v>-0.6102946101863328</v>
      </c>
      <c r="HN81" s="21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9"/>
    </row>
    <row r="82" spans="194:234" ht="16.5" x14ac:dyDescent="0.45">
      <c r="GL82" s="75">
        <v>8</v>
      </c>
      <c r="GM82" s="75">
        <v>13.255523069414981</v>
      </c>
      <c r="GN82" s="75">
        <v>0.84890204522272583</v>
      </c>
      <c r="GO82" s="75">
        <v>0.98504502942086725</v>
      </c>
      <c r="GQ82" s="75">
        <v>31.25</v>
      </c>
      <c r="GR82" s="75">
        <v>14.104425114637706</v>
      </c>
      <c r="GS82">
        <f t="shared" si="92"/>
        <v>-0.48877641111466941</v>
      </c>
      <c r="HN82" s="21"/>
      <c r="HO82" s="8" t="s">
        <v>178</v>
      </c>
      <c r="HP82" s="8">
        <v>15</v>
      </c>
      <c r="HQ82" s="8"/>
      <c r="HR82" s="8"/>
      <c r="HS82" s="8"/>
      <c r="HT82" s="8"/>
      <c r="HU82" s="8"/>
      <c r="HV82" s="8"/>
      <c r="HW82" s="8"/>
      <c r="HX82" s="8"/>
      <c r="HY82" s="8"/>
      <c r="HZ82" s="9"/>
    </row>
    <row r="83" spans="194:234" x14ac:dyDescent="0.35">
      <c r="GL83" s="75">
        <v>9</v>
      </c>
      <c r="GM83" s="75">
        <v>13.759438117106228</v>
      </c>
      <c r="GN83" s="75">
        <v>0.58231509248561508</v>
      </c>
      <c r="GO83" s="75">
        <v>0.67570409405623588</v>
      </c>
      <c r="GQ83" s="75">
        <v>35.416666666666671</v>
      </c>
      <c r="GR83" s="75">
        <v>14.341753209591843</v>
      </c>
      <c r="GS83">
        <f t="shared" si="92"/>
        <v>-0.37409541019772341</v>
      </c>
      <c r="HN83" s="21"/>
      <c r="HO83" s="8" t="s">
        <v>179</v>
      </c>
      <c r="HP83" s="8">
        <f>+(HP82-(2*HP60*HP61/HP62+1))/(SQRT(2*HP60*HP61*(2*HP60*HP61-HP62)/+(HP62^2*(HP62-1))))</f>
        <v>-2.4406372030086647</v>
      </c>
      <c r="HQ83" s="8"/>
      <c r="HR83" s="8"/>
      <c r="HS83" s="8"/>
      <c r="HT83" s="8"/>
      <c r="HU83" s="8"/>
      <c r="HV83" s="8"/>
      <c r="HW83" s="8"/>
      <c r="HX83" s="8"/>
      <c r="HY83" s="8"/>
      <c r="HZ83" s="9"/>
    </row>
    <row r="84" spans="194:234" x14ac:dyDescent="0.35">
      <c r="GL84" s="75">
        <v>10</v>
      </c>
      <c r="GM84" s="75">
        <v>14.263353164797479</v>
      </c>
      <c r="GN84" s="75">
        <v>9.3906929459592448E-2</v>
      </c>
      <c r="GO84" s="75">
        <v>0.10896728852629602</v>
      </c>
      <c r="GQ84" s="75">
        <v>39.583333333333336</v>
      </c>
      <c r="GR84" s="75">
        <v>14.357260094257072</v>
      </c>
      <c r="GS84">
        <f t="shared" si="92"/>
        <v>-0.26414697682592353</v>
      </c>
      <c r="HN84" s="21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9"/>
    </row>
    <row r="85" spans="194:234" x14ac:dyDescent="0.35">
      <c r="GL85" s="75">
        <v>11</v>
      </c>
      <c r="GM85" s="75">
        <v>14.767268212488727</v>
      </c>
      <c r="GN85" s="75">
        <v>-0.28476615032401398</v>
      </c>
      <c r="GO85" s="75">
        <v>-0.33043562858938441</v>
      </c>
      <c r="GQ85" s="75">
        <v>43.750000000000007</v>
      </c>
      <c r="GR85" s="75">
        <v>14.482502062164713</v>
      </c>
      <c r="GS85">
        <f t="shared" si="92"/>
        <v>-0.15731068461017056</v>
      </c>
      <c r="HN85" s="21"/>
      <c r="HO85" s="8" t="s">
        <v>308</v>
      </c>
      <c r="HP85" s="8" t="s">
        <v>285</v>
      </c>
      <c r="HQ85" s="8"/>
      <c r="HR85" s="8"/>
      <c r="HS85" s="8"/>
      <c r="HT85" s="8"/>
      <c r="HU85" s="8"/>
      <c r="HV85" s="8"/>
      <c r="HW85" s="8"/>
      <c r="HX85" s="8"/>
      <c r="HY85" s="8"/>
      <c r="HZ85" s="9"/>
    </row>
    <row r="86" spans="194:234" x14ac:dyDescent="0.35">
      <c r="GL86" s="75">
        <v>12</v>
      </c>
      <c r="GM86" s="75">
        <v>15.271183260179976</v>
      </c>
      <c r="GN86" s="75">
        <v>-0.15228501781720105</v>
      </c>
      <c r="GO86" s="75">
        <v>-0.176707784720609</v>
      </c>
      <c r="GQ86" s="75">
        <v>47.916666666666671</v>
      </c>
      <c r="GR86" s="75">
        <v>15.118898242362775</v>
      </c>
      <c r="GS86">
        <f t="shared" si="92"/>
        <v>-5.2245180375940205E-2</v>
      </c>
      <c r="HN86" s="21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9"/>
    </row>
    <row r="87" spans="194:234" x14ac:dyDescent="0.35">
      <c r="GL87" s="75">
        <v>13</v>
      </c>
      <c r="GM87" s="75">
        <v>15.775098307871225</v>
      </c>
      <c r="GN87" s="75">
        <v>-0.47171816020082957</v>
      </c>
      <c r="GO87" s="75">
        <v>-0.54737013723588102</v>
      </c>
      <c r="GQ87" s="75">
        <v>52.083333333333336</v>
      </c>
      <c r="GR87" s="75">
        <v>15.303380147670396</v>
      </c>
      <c r="GS87">
        <f t="shared" si="92"/>
        <v>5.2245180375940489E-2</v>
      </c>
      <c r="HN87" s="22"/>
      <c r="HO87" s="17"/>
      <c r="HP87" s="17"/>
      <c r="HQ87" s="17"/>
      <c r="HR87" s="17"/>
      <c r="HS87" s="17"/>
      <c r="HT87" s="17"/>
      <c r="HU87" s="17"/>
      <c r="HV87" s="17"/>
      <c r="HW87" s="17"/>
      <c r="HX87" s="17"/>
      <c r="HY87" s="17"/>
      <c r="HZ87" s="18"/>
    </row>
    <row r="88" spans="194:234" x14ac:dyDescent="0.35">
      <c r="GL88" s="75">
        <v>14</v>
      </c>
      <c r="GM88" s="75">
        <v>16.279013355562476</v>
      </c>
      <c r="GN88" s="75">
        <v>-0.62821077928833091</v>
      </c>
      <c r="GO88" s="75">
        <v>-0.72896031886013612</v>
      </c>
      <c r="GQ88" s="75">
        <v>56.250000000000007</v>
      </c>
      <c r="GR88" s="75">
        <v>15.650802576274145</v>
      </c>
      <c r="GS88">
        <f t="shared" si="92"/>
        <v>0.15731068461017098</v>
      </c>
    </row>
    <row r="89" spans="194:234" x14ac:dyDescent="0.35">
      <c r="GL89" s="75">
        <v>15</v>
      </c>
      <c r="GM89" s="75">
        <v>16.782928403253724</v>
      </c>
      <c r="GN89" s="75">
        <v>-5.352422783250077E-2</v>
      </c>
      <c r="GO89" s="75">
        <v>-6.2108195965250412E-2</v>
      </c>
      <c r="GQ89" s="75">
        <v>60.416666666666671</v>
      </c>
      <c r="GR89" s="75">
        <v>16.729404175421223</v>
      </c>
      <c r="GS89">
        <f t="shared" si="92"/>
        <v>0.26414697682592375</v>
      </c>
    </row>
    <row r="90" spans="194:234" x14ac:dyDescent="0.35">
      <c r="GL90" s="75">
        <v>16</v>
      </c>
      <c r="GM90" s="75">
        <v>17.286843450944971</v>
      </c>
      <c r="GN90" s="75">
        <v>-0.28308110378692675</v>
      </c>
      <c r="GO90" s="75">
        <v>-0.32848034208131022</v>
      </c>
      <c r="GQ90" s="75">
        <v>64.583333333333343</v>
      </c>
      <c r="GR90" s="75">
        <v>17.003762347158045</v>
      </c>
      <c r="GS90">
        <f t="shared" si="92"/>
        <v>0.37409541019772397</v>
      </c>
    </row>
    <row r="91" spans="194:234" x14ac:dyDescent="0.35">
      <c r="GL91" s="75">
        <v>17</v>
      </c>
      <c r="GM91" s="75">
        <v>17.790758498636222</v>
      </c>
      <c r="GN91" s="75">
        <v>0.32477017196904967</v>
      </c>
      <c r="GO91" s="75">
        <v>0.37685531022408747</v>
      </c>
      <c r="GQ91" s="75">
        <v>68.75</v>
      </c>
      <c r="GR91" s="75">
        <v>18.115528670605272</v>
      </c>
      <c r="GS91">
        <f t="shared" si="92"/>
        <v>0.48877641111466941</v>
      </c>
    </row>
    <row r="92" spans="194:234" x14ac:dyDescent="0.35">
      <c r="GL92" s="75">
        <v>18</v>
      </c>
      <c r="GM92" s="75">
        <v>18.294673546327473</v>
      </c>
      <c r="GN92" s="75">
        <v>-0.12413863615897469</v>
      </c>
      <c r="GO92" s="75">
        <v>-0.1440474165372054</v>
      </c>
      <c r="GQ92" s="75">
        <v>72.916666666666671</v>
      </c>
      <c r="GR92" s="75">
        <v>18.170534910168499</v>
      </c>
      <c r="GS92">
        <f t="shared" si="92"/>
        <v>0.61029461018633291</v>
      </c>
    </row>
    <row r="93" spans="194:234" x14ac:dyDescent="0.35">
      <c r="GL93" s="75">
        <v>19</v>
      </c>
      <c r="GM93" s="75">
        <v>18.798588594018721</v>
      </c>
      <c r="GN93" s="75">
        <v>-0.46711859637150255</v>
      </c>
      <c r="GO93" s="75">
        <v>-0.54203291663065345</v>
      </c>
      <c r="GQ93" s="75">
        <v>77.083333333333329</v>
      </c>
      <c r="GR93" s="75">
        <v>18.331469997647218</v>
      </c>
      <c r="GS93">
        <f t="shared" si="92"/>
        <v>0.74159404386151606</v>
      </c>
    </row>
    <row r="94" spans="194:234" x14ac:dyDescent="0.35">
      <c r="GL94" s="75">
        <v>20</v>
      </c>
      <c r="GM94" s="75">
        <v>19.302503641709968</v>
      </c>
      <c r="GN94" s="75">
        <v>-0.60832715699570628</v>
      </c>
      <c r="GO94" s="75">
        <v>-0.70588785317760494</v>
      </c>
      <c r="GQ94" s="75">
        <v>81.25</v>
      </c>
      <c r="GR94" s="75">
        <v>18.694176484714262</v>
      </c>
      <c r="GS94">
        <f t="shared" si="92"/>
        <v>0.88714655901887607</v>
      </c>
    </row>
    <row r="95" spans="194:234" x14ac:dyDescent="0.35">
      <c r="GL95" s="75">
        <v>21</v>
      </c>
      <c r="GM95" s="75">
        <v>19.80641868940122</v>
      </c>
      <c r="GN95" s="75">
        <v>-0.19142429387695614</v>
      </c>
      <c r="GO95" s="75">
        <v>-0.22212403687214849</v>
      </c>
      <c r="GQ95" s="75">
        <v>85.416666666666671</v>
      </c>
      <c r="GR95" s="75">
        <v>19.614994395524263</v>
      </c>
      <c r="GS95">
        <f t="shared" si="92"/>
        <v>1.0544724517700534</v>
      </c>
    </row>
    <row r="96" spans="194:234" x14ac:dyDescent="0.35">
      <c r="GL96" s="75">
        <v>22</v>
      </c>
      <c r="GM96" s="75">
        <v>20.310333737092471</v>
      </c>
      <c r="GN96" s="75">
        <v>-0.23880938106626814</v>
      </c>
      <c r="GO96" s="75">
        <v>-0.2771085252087972</v>
      </c>
      <c r="GQ96" s="75">
        <v>89.583333333333329</v>
      </c>
      <c r="GR96" s="75">
        <v>20.071524356026202</v>
      </c>
      <c r="GS96">
        <f t="shared" si="92"/>
        <v>1.2581615610630967</v>
      </c>
    </row>
    <row r="97" spans="194:201" x14ac:dyDescent="0.35">
      <c r="GL97" s="75">
        <v>23</v>
      </c>
      <c r="GM97" s="75">
        <v>20.814248784783718</v>
      </c>
      <c r="GN97" s="75">
        <v>0.64545552445254017</v>
      </c>
      <c r="GO97" s="75">
        <v>0.74897069650409265</v>
      </c>
      <c r="GQ97" s="75">
        <v>93.75</v>
      </c>
      <c r="GR97" s="75">
        <v>21.459704309236258</v>
      </c>
      <c r="GS97">
        <f t="shared" si="92"/>
        <v>1.5341205443525465</v>
      </c>
    </row>
    <row r="98" spans="194:201" ht="15" thickBot="1" x14ac:dyDescent="0.4">
      <c r="GL98" s="76">
        <v>24</v>
      </c>
      <c r="GM98" s="76">
        <v>21.318163832474966</v>
      </c>
      <c r="GN98" s="76">
        <v>0.24396777007495984</v>
      </c>
      <c r="GO98" s="76">
        <v>0.28309419279132469</v>
      </c>
      <c r="GQ98" s="76">
        <v>97.916666666666671</v>
      </c>
      <c r="GR98" s="76">
        <v>21.562131602549925</v>
      </c>
      <c r="GS98">
        <f t="shared" si="92"/>
        <v>2.0368341317013896</v>
      </c>
    </row>
  </sheetData>
  <sortState ref="IZ5:IZ16">
    <sortCondition ref="IZ5:IZ16"/>
  </sortState>
  <mergeCells count="2">
    <mergeCell ref="JH3:JI3"/>
    <mergeCell ref="JQ3:JR3"/>
  </mergeCells>
  <phoneticPr fontId="4" type="noConversion"/>
  <pageMargins left="0.70866141732283472" right="0.18" top="0.74803149606299213" bottom="0.74803149606299213" header="0.31496062992125984" footer="0.31496062992125984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Version_2</vt:lpstr>
      <vt:lpstr>Version_2!Área_de_impresión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JULIO HERNANDEZ MARCH</cp:lastModifiedBy>
  <cp:lastPrinted>2014-04-11T11:36:39Z</cp:lastPrinted>
  <dcterms:created xsi:type="dcterms:W3CDTF">2011-04-03T18:39:59Z</dcterms:created>
  <dcterms:modified xsi:type="dcterms:W3CDTF">2018-04-20T09:27:48Z</dcterms:modified>
</cp:coreProperties>
</file>